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3.xml" ContentType="application/vnd.openxmlformats-officedocument.drawing+xml"/>
  <Override PartName="/xl/charts/chart3.xml" ContentType="application/vnd.openxmlformats-officedocument.drawingml.chart+xml"/>
  <Override PartName="/xl/charts/chart4.xml" ContentType="application/vnd.openxmlformats-officedocument.drawingml.chart+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lenovo\Desktop\"/>
    </mc:Choice>
  </mc:AlternateContent>
  <xr:revisionPtr revIDLastSave="0" documentId="13_ncr:1_{0D88BCF7-4EB9-4192-9F15-CFD18CF0184E}" xr6:coauthVersionLast="47" xr6:coauthVersionMax="47" xr10:uidLastSave="{00000000-0000-0000-0000-000000000000}"/>
  <bookViews>
    <workbookView xWindow="-110" yWindow="-110" windowWidth="19420" windowHeight="11500" firstSheet="6" activeTab="13" xr2:uid="{00000000-000D-0000-FFFF-FFFF00000000}"/>
  </bookViews>
  <sheets>
    <sheet name="Rev Control" sheetId="1" r:id="rId1"/>
    <sheet name="用例执行情况说明" sheetId="2" r:id="rId2"/>
    <sheet name="每日进展" sheetId="3" r:id="rId3"/>
    <sheet name="Summary" sheetId="4" r:id="rId4"/>
    <sheet name="ASIC端口形态" sheetId="5" r:id="rId5"/>
    <sheet name="FPGA固定支持端口形态" sheetId="6" r:id="rId6"/>
    <sheet name="fanout" sheetId="7" r:id="rId7"/>
    <sheet name="AI场景" sheetId="8" r:id="rId8"/>
    <sheet name="存储场景" sheetId="9" r:id="rId9"/>
    <sheet name="网络场景" sheetId="10" r:id="rId10"/>
    <sheet name="协议类测试" sheetId="11" r:id="rId11"/>
    <sheet name="PCISIG" sheetId="12" r:id="rId12"/>
    <sheet name="PCIECV_USP" sheetId="13" r:id="rId13"/>
    <sheet name="PCIECV_DSP" sheetId="14" r:id="rId14"/>
    <sheet name="PBL" sheetId="15" r:id="rId15"/>
    <sheet name="DMA" sheetId="16" r:id="rId16"/>
    <sheet name="管理工具" sheetId="17" r:id="rId17"/>
    <sheet name="兼容性" sheetId="18" r:id="rId18"/>
    <sheet name="压力测试" sheetId="19" r:id="rId19"/>
    <sheet name="自动Summary(副本)" sheetId="20" state="hidden" r:id="rId20"/>
  </sheets>
  <calcPr calcId="191029"/>
  <customWorkbookViews>
    <customWorkbookView name="康伟伟 的视图" guid="{70AC2C18-9AC4-4C19-9CA7-489C53F9721F}" maximized="1" windowWidth="1415" windowHeight="872" activeSheetId="8"/>
  </customWorkbookViews>
</workbook>
</file>

<file path=xl/calcChain.xml><?xml version="1.0" encoding="utf-8"?>
<calcChain xmlns="http://schemas.openxmlformats.org/spreadsheetml/2006/main">
  <c r="E98" i="20" l="1"/>
  <c r="D98" i="20"/>
  <c r="C98" i="20"/>
  <c r="G97" i="20"/>
  <c r="F97" i="20"/>
  <c r="G96" i="20"/>
  <c r="F96" i="20"/>
  <c r="F95" i="20"/>
  <c r="G95" i="20" s="1"/>
  <c r="F94" i="20"/>
  <c r="G94" i="20" s="1"/>
  <c r="F93" i="20"/>
  <c r="G93" i="20" s="1"/>
  <c r="F92" i="20"/>
  <c r="G92" i="20" s="1"/>
  <c r="F91" i="20"/>
  <c r="G91" i="20" s="1"/>
  <c r="F90" i="20"/>
  <c r="G90" i="20" s="1"/>
  <c r="G89" i="20"/>
  <c r="F89" i="20"/>
  <c r="G88" i="20"/>
  <c r="F88" i="20"/>
  <c r="F87" i="20"/>
  <c r="G87" i="20" s="1"/>
  <c r="F86" i="20"/>
  <c r="G86" i="20" s="1"/>
  <c r="F85" i="20"/>
  <c r="G85" i="20" s="1"/>
  <c r="F84" i="20"/>
  <c r="G84" i="20" s="1"/>
  <c r="F83" i="20"/>
  <c r="G83" i="20" s="1"/>
  <c r="F82" i="20"/>
  <c r="G82" i="20" s="1"/>
  <c r="G81" i="20"/>
  <c r="F81" i="20"/>
  <c r="G80" i="20"/>
  <c r="F80" i="20"/>
  <c r="F79" i="20"/>
  <c r="G79" i="20" s="1"/>
  <c r="F78" i="20"/>
  <c r="G78" i="20" s="1"/>
  <c r="F77" i="20"/>
  <c r="G77" i="20" s="1"/>
  <c r="F76" i="20"/>
  <c r="G76" i="20" s="1"/>
  <c r="F75" i="20"/>
  <c r="G75" i="20" s="1"/>
  <c r="F74" i="20"/>
  <c r="F98" i="20" s="1"/>
  <c r="G98" i="20" s="1"/>
  <c r="F68" i="20"/>
  <c r="E68" i="20"/>
  <c r="D68" i="20"/>
  <c r="C68" i="20"/>
  <c r="G68" i="20" s="1"/>
  <c r="F67" i="20"/>
  <c r="G67" i="20" s="1"/>
  <c r="E67" i="20"/>
  <c r="D67" i="20"/>
  <c r="C67" i="20"/>
  <c r="G66" i="20"/>
  <c r="F66" i="20"/>
  <c r="E66" i="20"/>
  <c r="D66" i="20"/>
  <c r="C66" i="20"/>
  <c r="F65" i="20"/>
  <c r="G65" i="20" s="1"/>
  <c r="E65" i="20"/>
  <c r="D65" i="20"/>
  <c r="C65" i="20"/>
  <c r="F64" i="20"/>
  <c r="E64" i="20"/>
  <c r="D64" i="20"/>
  <c r="C64" i="20"/>
  <c r="G64" i="20" s="1"/>
  <c r="F63" i="20"/>
  <c r="G63" i="20" s="1"/>
  <c r="E63" i="20"/>
  <c r="D63" i="20"/>
  <c r="C63" i="20"/>
  <c r="F62" i="20"/>
  <c r="E62" i="20"/>
  <c r="D62" i="20"/>
  <c r="C62" i="20"/>
  <c r="G62" i="20" s="1"/>
  <c r="F61" i="20"/>
  <c r="E61" i="20"/>
  <c r="D61" i="20"/>
  <c r="C61" i="20"/>
  <c r="G61" i="20" s="1"/>
  <c r="F60" i="20"/>
  <c r="E60" i="20"/>
  <c r="D60" i="20"/>
  <c r="C60" i="20"/>
  <c r="G60" i="20" s="1"/>
  <c r="F59" i="20"/>
  <c r="E59" i="20"/>
  <c r="D59" i="20"/>
  <c r="C59" i="20"/>
  <c r="G59" i="20" s="1"/>
  <c r="F58" i="20"/>
  <c r="E58" i="20"/>
  <c r="D58" i="20"/>
  <c r="C58" i="20"/>
  <c r="G58" i="20" s="1"/>
  <c r="F57" i="20"/>
  <c r="E57" i="20"/>
  <c r="D57" i="20"/>
  <c r="C57" i="20"/>
  <c r="G57" i="20" s="1"/>
  <c r="F56" i="20"/>
  <c r="E56" i="20"/>
  <c r="D56" i="20"/>
  <c r="C56" i="20"/>
  <c r="G56" i="20" s="1"/>
  <c r="F55" i="20"/>
  <c r="G55" i="20" s="1"/>
  <c r="E55" i="20"/>
  <c r="D55" i="20"/>
  <c r="C55" i="20"/>
  <c r="F54" i="20"/>
  <c r="E54" i="20"/>
  <c r="D54" i="20"/>
  <c r="C54" i="20"/>
  <c r="G54" i="20" s="1"/>
  <c r="G53" i="20"/>
  <c r="F53" i="20"/>
  <c r="E53" i="20"/>
  <c r="D53" i="20"/>
  <c r="C53" i="20"/>
  <c r="F52" i="20"/>
  <c r="G52" i="20" s="1"/>
  <c r="E52" i="20"/>
  <c r="D52" i="20"/>
  <c r="C52" i="20"/>
  <c r="F51" i="20"/>
  <c r="G51" i="20" s="1"/>
  <c r="E51" i="20"/>
  <c r="D51" i="20"/>
  <c r="C51" i="20"/>
  <c r="G50" i="20"/>
  <c r="F50" i="20"/>
  <c r="E50" i="20"/>
  <c r="D50" i="20"/>
  <c r="C50" i="20"/>
  <c r="F49" i="20"/>
  <c r="G49" i="20" s="1"/>
  <c r="E49" i="20"/>
  <c r="D49" i="20"/>
  <c r="C49" i="20"/>
  <c r="F48" i="20"/>
  <c r="E48" i="20"/>
  <c r="D48" i="20"/>
  <c r="C48" i="20"/>
  <c r="G48" i="20" s="1"/>
  <c r="F47" i="20"/>
  <c r="G47" i="20" s="1"/>
  <c r="E47" i="20"/>
  <c r="D47" i="20"/>
  <c r="C47" i="20"/>
  <c r="F46" i="20"/>
  <c r="E46" i="20"/>
  <c r="D46" i="20"/>
  <c r="C46" i="20"/>
  <c r="G46" i="20" s="1"/>
  <c r="F45" i="20"/>
  <c r="F69" i="20" s="1"/>
  <c r="E45" i="20"/>
  <c r="E69" i="20" s="1"/>
  <c r="D45" i="20"/>
  <c r="D69" i="20" s="1"/>
  <c r="C45" i="20"/>
  <c r="C69" i="20" s="1"/>
  <c r="E40" i="20"/>
  <c r="F39" i="20"/>
  <c r="E39" i="20"/>
  <c r="D39" i="20"/>
  <c r="C39" i="20"/>
  <c r="G39" i="20" s="1"/>
  <c r="G38" i="20"/>
  <c r="F38" i="20"/>
  <c r="E38" i="20"/>
  <c r="D38" i="20"/>
  <c r="C38" i="20"/>
  <c r="G37" i="20"/>
  <c r="F37" i="20"/>
  <c r="E37" i="20"/>
  <c r="D37" i="20"/>
  <c r="C37" i="20"/>
  <c r="F36" i="20"/>
  <c r="G36" i="20" s="1"/>
  <c r="E36" i="20"/>
  <c r="D36" i="20"/>
  <c r="C36" i="20"/>
  <c r="F35" i="20"/>
  <c r="G35" i="20" s="1"/>
  <c r="E35" i="20"/>
  <c r="D35" i="20"/>
  <c r="C35" i="20"/>
  <c r="F34" i="20"/>
  <c r="G34" i="20" s="1"/>
  <c r="E34" i="20"/>
  <c r="D34" i="20"/>
  <c r="C34" i="20"/>
  <c r="F33" i="20"/>
  <c r="G33" i="20" s="1"/>
  <c r="E33" i="20"/>
  <c r="D33" i="20"/>
  <c r="C33" i="20"/>
  <c r="F32" i="20"/>
  <c r="G32" i="20" s="1"/>
  <c r="E32" i="20"/>
  <c r="D32" i="20"/>
  <c r="C32" i="20"/>
  <c r="F31" i="20"/>
  <c r="G31" i="20" s="1"/>
  <c r="E31" i="20"/>
  <c r="D31" i="20"/>
  <c r="C31" i="20"/>
  <c r="G30" i="20"/>
  <c r="F30" i="20"/>
  <c r="E30" i="20"/>
  <c r="D30" i="20"/>
  <c r="C30" i="20"/>
  <c r="F29" i="20"/>
  <c r="G29" i="20" s="1"/>
  <c r="E29" i="20"/>
  <c r="D29" i="20"/>
  <c r="C29" i="20"/>
  <c r="F28" i="20"/>
  <c r="E28" i="20"/>
  <c r="D28" i="20"/>
  <c r="C28" i="20"/>
  <c r="G28" i="20" s="1"/>
  <c r="F27" i="20"/>
  <c r="G27" i="20" s="1"/>
  <c r="E27" i="20"/>
  <c r="D27" i="20"/>
  <c r="C27" i="20"/>
  <c r="F26" i="20"/>
  <c r="E26" i="20"/>
  <c r="D26" i="20"/>
  <c r="C26" i="20"/>
  <c r="G26" i="20" s="1"/>
  <c r="F25" i="20"/>
  <c r="F40" i="20" s="1"/>
  <c r="E25" i="20"/>
  <c r="D25" i="20"/>
  <c r="D40" i="20" s="1"/>
  <c r="C25" i="20"/>
  <c r="C40" i="20" s="1"/>
  <c r="G24" i="20"/>
  <c r="F24" i="20"/>
  <c r="E24" i="20"/>
  <c r="D24" i="20"/>
  <c r="C24" i="20"/>
  <c r="G18" i="20"/>
  <c r="F18" i="20"/>
  <c r="E18" i="20"/>
  <c r="D18" i="20"/>
  <c r="C18" i="20"/>
  <c r="F17" i="20"/>
  <c r="E17" i="20"/>
  <c r="D17" i="20"/>
  <c r="G17" i="20" s="1"/>
  <c r="C17" i="20"/>
  <c r="F16" i="20"/>
  <c r="G16" i="20" s="1"/>
  <c r="D16" i="20"/>
  <c r="C16" i="20"/>
  <c r="F15" i="20"/>
  <c r="G15" i="20" s="1"/>
  <c r="E15" i="20"/>
  <c r="D15" i="20"/>
  <c r="C15" i="20"/>
  <c r="F14" i="20"/>
  <c r="G14" i="20" s="1"/>
  <c r="E14" i="20"/>
  <c r="D14" i="20"/>
  <c r="C14" i="20"/>
  <c r="F13" i="20"/>
  <c r="G13" i="20" s="1"/>
  <c r="E13" i="20"/>
  <c r="D13" i="20"/>
  <c r="C13" i="20"/>
  <c r="F12" i="20"/>
  <c r="G12" i="20" s="1"/>
  <c r="E12" i="20"/>
  <c r="D12" i="20"/>
  <c r="C12" i="20"/>
  <c r="F11" i="20"/>
  <c r="E11" i="20"/>
  <c r="D11" i="20"/>
  <c r="C11" i="20"/>
  <c r="G11" i="20" s="1"/>
  <c r="F10" i="20"/>
  <c r="G10" i="20" s="1"/>
  <c r="E10" i="20"/>
  <c r="D10" i="20"/>
  <c r="C10" i="20"/>
  <c r="F9" i="20"/>
  <c r="E9" i="20"/>
  <c r="D9" i="20"/>
  <c r="C9" i="20"/>
  <c r="G9" i="20" s="1"/>
  <c r="F8" i="20"/>
  <c r="E8" i="20"/>
  <c r="D8" i="20"/>
  <c r="C8" i="20"/>
  <c r="C19" i="20" s="1"/>
  <c r="F7" i="20"/>
  <c r="D7" i="20"/>
  <c r="G7" i="20" s="1"/>
  <c r="C7" i="20"/>
  <c r="F6" i="20"/>
  <c r="G6" i="20" s="1"/>
  <c r="E6" i="20"/>
  <c r="E19" i="20" s="1"/>
  <c r="D6" i="20"/>
  <c r="C6" i="20"/>
  <c r="F5" i="20"/>
  <c r="F19" i="20" s="1"/>
  <c r="G19" i="20" s="1"/>
  <c r="D5" i="20"/>
  <c r="D19" i="20" s="1"/>
  <c r="C5" i="20"/>
  <c r="F4" i="20"/>
  <c r="G4" i="20" s="1"/>
  <c r="Z11" i="15"/>
  <c r="X11" i="15"/>
  <c r="U11" i="15"/>
  <c r="R11" i="15"/>
  <c r="O11" i="15"/>
  <c r="L11" i="15"/>
  <c r="I11" i="15"/>
  <c r="Z10" i="15"/>
  <c r="Z8" i="15" s="1"/>
  <c r="X10" i="15"/>
  <c r="U10" i="15"/>
  <c r="R10" i="15"/>
  <c r="O10" i="15"/>
  <c r="L10" i="15"/>
  <c r="I10" i="15"/>
  <c r="I8" i="15" s="1"/>
  <c r="Z9" i="15"/>
  <c r="X9" i="15"/>
  <c r="X8" i="15" s="1"/>
  <c r="U9" i="15"/>
  <c r="R9" i="15"/>
  <c r="R8" i="15" s="1"/>
  <c r="O9" i="15"/>
  <c r="O8" i="15" s="1"/>
  <c r="L9" i="15"/>
  <c r="L8" i="15" s="1"/>
  <c r="I9" i="15"/>
  <c r="U8" i="15"/>
  <c r="Z7" i="15"/>
  <c r="Z4" i="15" s="1"/>
  <c r="X7" i="15"/>
  <c r="X4" i="15" s="1"/>
  <c r="U7" i="15"/>
  <c r="R7" i="15"/>
  <c r="I21" i="15" s="1"/>
  <c r="O7" i="15"/>
  <c r="L7" i="15"/>
  <c r="I7" i="15"/>
  <c r="Z6" i="15"/>
  <c r="X6" i="15"/>
  <c r="U6" i="15"/>
  <c r="R6" i="15"/>
  <c r="O6" i="15"/>
  <c r="O4" i="15" s="1"/>
  <c r="L6" i="15"/>
  <c r="I6" i="15"/>
  <c r="Z5" i="15"/>
  <c r="X5" i="15"/>
  <c r="U5" i="15"/>
  <c r="U4" i="15" s="1"/>
  <c r="R5" i="15"/>
  <c r="R4" i="15" s="1"/>
  <c r="O5" i="15"/>
  <c r="L5" i="15"/>
  <c r="L4" i="15" s="1"/>
  <c r="I5" i="15"/>
  <c r="I19" i="15" s="1"/>
  <c r="I4" i="15"/>
  <c r="G44" i="4"/>
  <c r="F44" i="4"/>
  <c r="J44" i="4" s="1"/>
  <c r="E44" i="4"/>
  <c r="C44" i="4"/>
  <c r="G43" i="4"/>
  <c r="F43" i="4"/>
  <c r="J43" i="4" s="1"/>
  <c r="E43" i="4"/>
  <c r="C43" i="4"/>
  <c r="H43" i="4" s="1"/>
  <c r="H42" i="4"/>
  <c r="G42" i="4"/>
  <c r="D42" i="4" s="1"/>
  <c r="F42" i="4"/>
  <c r="J42" i="4" s="1"/>
  <c r="E42" i="4"/>
  <c r="C42" i="4"/>
  <c r="K42" i="4" s="1"/>
  <c r="H41" i="4"/>
  <c r="G41" i="4"/>
  <c r="D41" i="4" s="1"/>
  <c r="F41" i="4"/>
  <c r="J41" i="4" s="1"/>
  <c r="E41" i="4"/>
  <c r="C41" i="4"/>
  <c r="K41" i="4" s="1"/>
  <c r="G40" i="4"/>
  <c r="D40" i="4" s="1"/>
  <c r="F40" i="4"/>
  <c r="E40" i="4"/>
  <c r="C40" i="4"/>
  <c r="G39" i="4"/>
  <c r="J39" i="4" s="1"/>
  <c r="F39" i="4"/>
  <c r="E39" i="4"/>
  <c r="C39" i="4"/>
  <c r="G38" i="4"/>
  <c r="D38" i="4" s="1"/>
  <c r="F38" i="4"/>
  <c r="J38" i="4" s="1"/>
  <c r="E38" i="4"/>
  <c r="C38" i="4"/>
  <c r="K38" i="4" s="1"/>
  <c r="G37" i="4"/>
  <c r="J37" i="4" s="1"/>
  <c r="F37" i="4"/>
  <c r="E37" i="4"/>
  <c r="C37" i="4"/>
  <c r="H37" i="4" s="1"/>
  <c r="G36" i="4"/>
  <c r="D36" i="4" s="1"/>
  <c r="F36" i="4"/>
  <c r="J36" i="4" s="1"/>
  <c r="E36" i="4"/>
  <c r="C36" i="4"/>
  <c r="H36" i="4" s="1"/>
  <c r="G35" i="4"/>
  <c r="D35" i="4" s="1"/>
  <c r="F35" i="4"/>
  <c r="J35" i="4" s="1"/>
  <c r="E35" i="4"/>
  <c r="C35" i="4"/>
  <c r="H35" i="4" s="1"/>
  <c r="G34" i="4"/>
  <c r="D34" i="4" s="1"/>
  <c r="F34" i="4"/>
  <c r="J34" i="4" s="1"/>
  <c r="E34" i="4"/>
  <c r="C34" i="4"/>
  <c r="K34" i="4" s="1"/>
  <c r="G33" i="4"/>
  <c r="D33" i="4" s="1"/>
  <c r="F33" i="4"/>
  <c r="J33" i="4" s="1"/>
  <c r="E33" i="4"/>
  <c r="C33" i="4"/>
  <c r="K33" i="4" s="1"/>
  <c r="H32" i="4"/>
  <c r="G32" i="4"/>
  <c r="D32" i="4" s="1"/>
  <c r="F32" i="4"/>
  <c r="J32" i="4" s="1"/>
  <c r="E32" i="4"/>
  <c r="C32" i="4"/>
  <c r="H31" i="4"/>
  <c r="G31" i="4"/>
  <c r="D31" i="4" s="1"/>
  <c r="F31" i="4"/>
  <c r="J31" i="4" s="1"/>
  <c r="E31" i="4"/>
  <c r="C31" i="4"/>
  <c r="G30" i="4"/>
  <c r="J30" i="4" s="1"/>
  <c r="F30" i="4"/>
  <c r="E30" i="4"/>
  <c r="C30" i="4"/>
  <c r="G29" i="4"/>
  <c r="F29" i="4"/>
  <c r="J29" i="4" s="1"/>
  <c r="E29" i="4"/>
  <c r="C29" i="4"/>
  <c r="H29" i="4" s="1"/>
  <c r="G28" i="4"/>
  <c r="F28" i="4"/>
  <c r="J28" i="4" s="1"/>
  <c r="E28" i="4"/>
  <c r="C28" i="4"/>
  <c r="F27" i="4"/>
  <c r="J27" i="4" s="1"/>
  <c r="E27" i="4"/>
  <c r="D27" i="4" s="1"/>
  <c r="I27" i="4" s="1"/>
  <c r="C27" i="4"/>
  <c r="H27" i="4" s="1"/>
  <c r="G26" i="4"/>
  <c r="F26" i="4"/>
  <c r="J26" i="4" s="1"/>
  <c r="E26" i="4"/>
  <c r="C26" i="4"/>
  <c r="G25" i="4"/>
  <c r="D25" i="4" s="1"/>
  <c r="I25" i="4" s="1"/>
  <c r="F25" i="4"/>
  <c r="J25" i="4" s="1"/>
  <c r="E25" i="4"/>
  <c r="C25" i="4"/>
  <c r="K25" i="4" s="1"/>
  <c r="G24" i="4"/>
  <c r="D24" i="4" s="1"/>
  <c r="I24" i="4" s="1"/>
  <c r="F24" i="4"/>
  <c r="J24" i="4" s="1"/>
  <c r="E24" i="4"/>
  <c r="C24" i="4"/>
  <c r="D23" i="2" s="1"/>
  <c r="G23" i="4"/>
  <c r="D23" i="4" s="1"/>
  <c r="I23" i="4" s="1"/>
  <c r="F23" i="4"/>
  <c r="F45" i="4" s="1"/>
  <c r="E23" i="4"/>
  <c r="C23" i="4"/>
  <c r="K23" i="4" s="1"/>
  <c r="G22" i="4"/>
  <c r="D22" i="4" s="1"/>
  <c r="E22" i="4"/>
  <c r="E45" i="4" s="1"/>
  <c r="C22" i="4"/>
  <c r="C45" i="4" s="1"/>
  <c r="G16" i="4"/>
  <c r="F16" i="4"/>
  <c r="J16" i="4" s="1"/>
  <c r="E16" i="4"/>
  <c r="C16" i="4"/>
  <c r="K15" i="4"/>
  <c r="J15" i="4"/>
  <c r="I15" i="4"/>
  <c r="H15" i="4"/>
  <c r="Q18" i="4" s="1"/>
  <c r="G14" i="4"/>
  <c r="F14" i="4"/>
  <c r="J14" i="4" s="1"/>
  <c r="E14" i="4"/>
  <c r="C14" i="4"/>
  <c r="H14" i="4" s="1"/>
  <c r="J13" i="4"/>
  <c r="D13" i="4"/>
  <c r="I13" i="4" s="1"/>
  <c r="C13" i="4"/>
  <c r="H13" i="4" s="1"/>
  <c r="Q16" i="4" s="1"/>
  <c r="G12" i="4"/>
  <c r="F12" i="4"/>
  <c r="E12" i="4"/>
  <c r="C12" i="4"/>
  <c r="G11" i="4"/>
  <c r="F11" i="4"/>
  <c r="E11" i="4"/>
  <c r="C11" i="4"/>
  <c r="G10" i="4"/>
  <c r="J10" i="4" s="1"/>
  <c r="F10" i="4"/>
  <c r="E10" i="4"/>
  <c r="C10" i="4"/>
  <c r="J9" i="4"/>
  <c r="G9" i="4"/>
  <c r="F9" i="4"/>
  <c r="E9" i="4"/>
  <c r="C9" i="4"/>
  <c r="H9" i="4" s="1"/>
  <c r="Q13" i="4" s="1"/>
  <c r="G8" i="4"/>
  <c r="K8" i="4" s="1"/>
  <c r="F8" i="4"/>
  <c r="J8" i="4" s="1"/>
  <c r="K7" i="4"/>
  <c r="J7" i="4"/>
  <c r="I7" i="4"/>
  <c r="H7" i="4"/>
  <c r="G7" i="4"/>
  <c r="Q11" i="4" s="1"/>
  <c r="K6" i="4"/>
  <c r="J6" i="4"/>
  <c r="I6" i="4"/>
  <c r="H6" i="4"/>
  <c r="Q10" i="4" s="1"/>
  <c r="J5" i="4"/>
  <c r="I5" i="4"/>
  <c r="H5" i="4"/>
  <c r="C5" i="4"/>
  <c r="K5" i="4" s="1"/>
  <c r="K4" i="4"/>
  <c r="J4" i="4"/>
  <c r="I4" i="4"/>
  <c r="G4" i="4"/>
  <c r="E4" i="4"/>
  <c r="C4" i="4"/>
  <c r="D4" i="2" s="1"/>
  <c r="N44" i="2"/>
  <c r="M44" i="2"/>
  <c r="M9" i="2" s="1"/>
  <c r="M17" i="2" s="1"/>
  <c r="L44" i="2"/>
  <c r="K44" i="2"/>
  <c r="J44" i="2"/>
  <c r="J9" i="2" s="1"/>
  <c r="J17" i="2" s="1"/>
  <c r="I44" i="2"/>
  <c r="I9" i="2" s="1"/>
  <c r="I17" i="2" s="1"/>
  <c r="H44" i="2"/>
  <c r="H9" i="2" s="1"/>
  <c r="H17" i="2" s="1"/>
  <c r="G44" i="2"/>
  <c r="G9" i="2" s="1"/>
  <c r="C44" i="2"/>
  <c r="O43" i="2"/>
  <c r="O42" i="2"/>
  <c r="O41" i="2"/>
  <c r="O40" i="2"/>
  <c r="O39" i="2"/>
  <c r="O38" i="2"/>
  <c r="O37" i="2"/>
  <c r="O36" i="2"/>
  <c r="O35" i="2"/>
  <c r="O34" i="2"/>
  <c r="O33" i="2"/>
  <c r="O32" i="2"/>
  <c r="O31" i="2"/>
  <c r="O30" i="2"/>
  <c r="O29" i="2"/>
  <c r="O28" i="2"/>
  <c r="O27" i="2"/>
  <c r="O26" i="2"/>
  <c r="O25" i="2"/>
  <c r="O24" i="2"/>
  <c r="O23" i="2"/>
  <c r="O22" i="2"/>
  <c r="O21" i="2"/>
  <c r="O44" i="2" s="1"/>
  <c r="L17" i="2"/>
  <c r="O16" i="2"/>
  <c r="C16" i="2"/>
  <c r="O15" i="2"/>
  <c r="D15" i="2"/>
  <c r="F15" i="2" s="1"/>
  <c r="C15" i="2"/>
  <c r="E15" i="2" s="1"/>
  <c r="O14" i="2"/>
  <c r="C14" i="2"/>
  <c r="O13" i="2"/>
  <c r="D13" i="2"/>
  <c r="F13" i="2" s="1"/>
  <c r="O12" i="2"/>
  <c r="C12" i="2"/>
  <c r="O11" i="2"/>
  <c r="C11" i="2"/>
  <c r="O10" i="2"/>
  <c r="C10" i="2"/>
  <c r="N9" i="2"/>
  <c r="N17" i="2" s="1"/>
  <c r="L9" i="2"/>
  <c r="K9" i="2"/>
  <c r="K17" i="2" s="1"/>
  <c r="C9" i="2"/>
  <c r="O8" i="2"/>
  <c r="D8" i="2"/>
  <c r="F8" i="2" s="1"/>
  <c r="C8" i="2"/>
  <c r="E8" i="2" s="1"/>
  <c r="O7" i="2"/>
  <c r="D7" i="2"/>
  <c r="C7" i="2"/>
  <c r="F7" i="2" s="1"/>
  <c r="O6" i="2"/>
  <c r="D6" i="2"/>
  <c r="F6" i="2" s="1"/>
  <c r="C6" i="2"/>
  <c r="O5" i="2"/>
  <c r="D5" i="2"/>
  <c r="F5" i="2" s="1"/>
  <c r="C5" i="2"/>
  <c r="E5" i="2" s="1"/>
  <c r="O4" i="2"/>
  <c r="C4" i="2"/>
  <c r="E17" i="4" l="1"/>
  <c r="J12" i="4"/>
  <c r="J11" i="4"/>
  <c r="G17" i="4"/>
  <c r="D11" i="4"/>
  <c r="D11" i="2" s="1"/>
  <c r="F11" i="2" s="1"/>
  <c r="Q4" i="4"/>
  <c r="Q15" i="4" s="1"/>
  <c r="K16" i="4"/>
  <c r="I36" i="4"/>
  <c r="D35" i="2"/>
  <c r="K36" i="4"/>
  <c r="I34" i="4"/>
  <c r="D33" i="2"/>
  <c r="K39" i="4"/>
  <c r="K35" i="4"/>
  <c r="I35" i="4"/>
  <c r="D34" i="2"/>
  <c r="K40" i="4"/>
  <c r="F4" i="2"/>
  <c r="D39" i="2"/>
  <c r="I40" i="4"/>
  <c r="D32" i="2"/>
  <c r="I33" i="4"/>
  <c r="D40" i="2"/>
  <c r="I41" i="4"/>
  <c r="H45" i="4"/>
  <c r="I18" i="15"/>
  <c r="G17" i="2"/>
  <c r="O9" i="2"/>
  <c r="D21" i="2"/>
  <c r="K22" i="4"/>
  <c r="I22" i="4"/>
  <c r="D37" i="2"/>
  <c r="I38" i="4"/>
  <c r="D41" i="2"/>
  <c r="I42" i="4"/>
  <c r="J45" i="4"/>
  <c r="D30" i="2"/>
  <c r="K31" i="4"/>
  <c r="I31" i="4"/>
  <c r="F23" i="2"/>
  <c r="E23" i="2"/>
  <c r="O17" i="2"/>
  <c r="K32" i="4"/>
  <c r="D31" i="2"/>
  <c r="I32" i="4"/>
  <c r="K44" i="4"/>
  <c r="G40" i="20"/>
  <c r="G69" i="20"/>
  <c r="K27" i="4"/>
  <c r="H38" i="4"/>
  <c r="K43" i="4"/>
  <c r="D26" i="4"/>
  <c r="D45" i="4" s="1"/>
  <c r="E13" i="2"/>
  <c r="Q9" i="4"/>
  <c r="H11" i="4"/>
  <c r="D28" i="4"/>
  <c r="I28" i="4" s="1"/>
  <c r="H40" i="4"/>
  <c r="D44" i="4"/>
  <c r="G8" i="20"/>
  <c r="G25" i="20"/>
  <c r="G45" i="20"/>
  <c r="H33" i="4"/>
  <c r="D37" i="4"/>
  <c r="C17" i="2"/>
  <c r="H8" i="4"/>
  <c r="Q12" i="4" s="1"/>
  <c r="D10" i="4"/>
  <c r="K10" i="4" s="1"/>
  <c r="F17" i="4"/>
  <c r="J40" i="4"/>
  <c r="G5" i="20"/>
  <c r="D30" i="4"/>
  <c r="D22" i="2"/>
  <c r="D26" i="2"/>
  <c r="I8" i="4"/>
  <c r="D39" i="4"/>
  <c r="H26" i="4"/>
  <c r="D9" i="2"/>
  <c r="K13" i="4"/>
  <c r="K24" i="4"/>
  <c r="H28" i="4"/>
  <c r="H44" i="4"/>
  <c r="C17" i="4"/>
  <c r="H22" i="4"/>
  <c r="J22" i="4"/>
  <c r="H24" i="4"/>
  <c r="H30" i="4"/>
  <c r="H39" i="4"/>
  <c r="D43" i="4"/>
  <c r="D29" i="4"/>
  <c r="I29" i="4" s="1"/>
  <c r="H12" i="4"/>
  <c r="H16" i="4"/>
  <c r="Q19" i="4"/>
  <c r="J23" i="4"/>
  <c r="H25" i="4"/>
  <c r="H34" i="4"/>
  <c r="G74" i="20"/>
  <c r="E6" i="2"/>
  <c r="H10" i="4"/>
  <c r="Q14" i="4" s="1"/>
  <c r="D12" i="4"/>
  <c r="I12" i="4" s="1"/>
  <c r="D16" i="4"/>
  <c r="D14" i="4"/>
  <c r="D9" i="4"/>
  <c r="Q17" i="4"/>
  <c r="H23" i="4"/>
  <c r="I20" i="15"/>
  <c r="G45" i="4"/>
  <c r="E7" i="2"/>
  <c r="D24" i="2"/>
  <c r="D28" i="2"/>
  <c r="H4" i="4"/>
  <c r="Q8" i="4" s="1"/>
  <c r="J17" i="4" l="1"/>
  <c r="K11" i="4"/>
  <c r="I11" i="4"/>
  <c r="I45" i="4"/>
  <c r="K45" i="4"/>
  <c r="I14" i="4"/>
  <c r="K14" i="4"/>
  <c r="F22" i="2"/>
  <c r="E22" i="2"/>
  <c r="F32" i="2"/>
  <c r="E32" i="2"/>
  <c r="F28" i="2"/>
  <c r="E28" i="2"/>
  <c r="F41" i="2"/>
  <c r="E41" i="2"/>
  <c r="D14" i="2"/>
  <c r="F37" i="2"/>
  <c r="E37" i="2"/>
  <c r="F9" i="2"/>
  <c r="E9" i="2"/>
  <c r="F33" i="2"/>
  <c r="E33" i="2"/>
  <c r="F31" i="2"/>
  <c r="E31" i="2"/>
  <c r="D43" i="2"/>
  <c r="I44" i="4"/>
  <c r="Q5" i="4"/>
  <c r="F39" i="2"/>
  <c r="E39" i="2"/>
  <c r="F21" i="2"/>
  <c r="E21" i="2"/>
  <c r="I43" i="4"/>
  <c r="D42" i="2"/>
  <c r="I16" i="4"/>
  <c r="D16" i="2"/>
  <c r="I30" i="4"/>
  <c r="D29" i="2"/>
  <c r="D27" i="2"/>
  <c r="H17" i="4"/>
  <c r="D25" i="2"/>
  <c r="I26" i="4"/>
  <c r="F30" i="2"/>
  <c r="E30" i="2"/>
  <c r="F40" i="2"/>
  <c r="E40" i="2"/>
  <c r="I10" i="4"/>
  <c r="D10" i="2"/>
  <c r="F34" i="2"/>
  <c r="E34" i="2"/>
  <c r="K26" i="4"/>
  <c r="F24" i="2"/>
  <c r="E24" i="2"/>
  <c r="D36" i="2"/>
  <c r="K37" i="4"/>
  <c r="I37" i="4"/>
  <c r="D12" i="2"/>
  <c r="K30" i="4"/>
  <c r="I39" i="4"/>
  <c r="D38" i="2"/>
  <c r="K12" i="4"/>
  <c r="F35" i="2"/>
  <c r="E35" i="2"/>
  <c r="I9" i="4"/>
  <c r="K9" i="4"/>
  <c r="D17" i="4"/>
  <c r="I17" i="4" s="1"/>
  <c r="K28" i="4"/>
  <c r="F26" i="2"/>
  <c r="E26" i="2"/>
  <c r="K29" i="4"/>
  <c r="E11" i="2"/>
  <c r="K17" i="4" l="1"/>
  <c r="Q7" i="4" s="1"/>
  <c r="F25" i="2"/>
  <c r="E25" i="2"/>
  <c r="E44" i="2" s="1"/>
  <c r="F10" i="2"/>
  <c r="E10" i="2"/>
  <c r="D17" i="2"/>
  <c r="F17" i="2" s="1"/>
  <c r="F42" i="2"/>
  <c r="E42" i="2"/>
  <c r="F14" i="2"/>
  <c r="E14" i="2"/>
  <c r="F38" i="2"/>
  <c r="E38" i="2"/>
  <c r="D44" i="2"/>
  <c r="F44" i="2" s="1"/>
  <c r="F12" i="2"/>
  <c r="E12" i="2"/>
  <c r="E17" i="2" s="1"/>
  <c r="F43" i="2"/>
  <c r="E43" i="2"/>
  <c r="F36" i="2"/>
  <c r="E36" i="2"/>
  <c r="F27" i="2"/>
  <c r="E27" i="2"/>
  <c r="F29" i="2"/>
  <c r="E29" i="2"/>
  <c r="E16" i="2"/>
  <c r="F16" i="2"/>
</calcChain>
</file>

<file path=xl/sharedStrings.xml><?xml version="1.0" encoding="utf-8"?>
<sst xmlns="http://schemas.openxmlformats.org/spreadsheetml/2006/main" count="7703" uniqueCount="3272">
  <si>
    <t>Testcase Name</t>
  </si>
  <si>
    <t>Owner</t>
  </si>
  <si>
    <t>Case Type</t>
  </si>
  <si>
    <t>Description</t>
  </si>
  <si>
    <t>前置条件</t>
  </si>
  <si>
    <t>Test Steps</t>
  </si>
  <si>
    <t>Expected Result</t>
  </si>
  <si>
    <t>Priority</t>
  </si>
  <si>
    <t>Automated</t>
  </si>
  <si>
    <t>Status</t>
  </si>
  <si>
    <t>Comments</t>
  </si>
  <si>
    <t>关联Jira</t>
  </si>
  <si>
    <t>补充</t>
  </si>
  <si>
    <t>yundu_asic_gen1_20240829_removed_nvme</t>
  </si>
  <si>
    <t>yundu_asic_base_20241106</t>
  </si>
  <si>
    <t>PCIe_SYS_fanout_001</t>
  </si>
  <si>
    <t>Basicfunction</t>
  </si>
  <si>
    <t>station0 x16 USP，station1 c4444 DSP</t>
  </si>
  <si>
    <t>1、主机和swich物理连接正常
2、switch与背板连接正常</t>
  </si>
  <si>
    <t>1、配置2个station，station 0 配置成 x16 port 作为USP
2、station 1都配置成4个x4 port作为DSP，DSP连接 lanes 匹配的Gen NVME盘</t>
  </si>
  <si>
    <t>1、所有测试用例预期结果正常，符合预期;
2、枚举建链成功、链路宽度与链路速度符合设置</t>
  </si>
  <si>
    <t>P0</t>
  </si>
  <si>
    <t>Yes</t>
  </si>
  <si>
    <t>PASS</t>
  </si>
  <si>
    <t>主机usp能建链到x16
服务器只能建链到x8</t>
  </si>
  <si>
    <t>PCIe_SYS_fanout_002</t>
  </si>
  <si>
    <t>station0 x16 USP，station1 c88 DSP</t>
  </si>
  <si>
    <t>1、配置2个station，station 0 配置成 x16 port 作为USP
2、station 1都配置成2个x8 port作为DSP，DSP连接 lanes 匹配的Gen NVME盘</t>
  </si>
  <si>
    <t>PCIe_SYS_fanout_003</t>
  </si>
  <si>
    <t>station0 x16 USP，station1 x16 DSP</t>
  </si>
  <si>
    <t>1、配置2个station，station 0 配置成 x16 port 作为USP
2、station 1都配置成1个x16 port作为DSP，DSP连接 lanes 匹配的Gen NVME盘</t>
  </si>
  <si>
    <t>PCIe_SYS_fanout_004</t>
  </si>
  <si>
    <t>station0 x16 USP，station1 c844 DSP</t>
  </si>
  <si>
    <t>1、配置2个station，station 0 配置成 x16 port 作为USP
2、station 1都配置成1个x8、2个x4 port作为DSP，DSP连接 lanes 匹配的Gen NVME盘</t>
  </si>
  <si>
    <t>PCIe_SYS_fanout_005</t>
  </si>
  <si>
    <t>station0 x8 USP，station1 c4444 DSP</t>
  </si>
  <si>
    <t>1、配置2个station，station 0 配置成 x8 port 作为USP
2、station 1都配置成4个x4 port作为DSP，DSP连接 lanes 匹配的Gen NVME盘</t>
  </si>
  <si>
    <t>配置x8usp可以分别配置C88的port1(x16的高lane);c88的port2(x8在低2phy);c8442的port2(x8在高2phy)</t>
  </si>
  <si>
    <t>PCIe_SYS_fanout_006</t>
  </si>
  <si>
    <t>station0 x8 USP，station1 c88 DSP</t>
  </si>
  <si>
    <t>1、配置2个station，station 0 配置成 x8 port 作为USP
2、station 1都配置成2个x8 port作为DSP，DSP连接 lanes 匹配的Gen NVME盘</t>
  </si>
  <si>
    <t>USP不能配置为X8 controller</t>
  </si>
  <si>
    <t>PCIe_SYS_fanout_007</t>
  </si>
  <si>
    <t>station0 x8 USP，station1 x16 DSP</t>
  </si>
  <si>
    <t>1、配置2个station，station 0 配置成 x8 port 作为USP
2、station 1都配置成1个x16 port作为DSP，DSP连接 lanes 匹配的Gen NVME盘</t>
  </si>
  <si>
    <t>PCIe_SYS_fanout_008</t>
  </si>
  <si>
    <t>station0 x8 USP，station1 c844 DSP</t>
  </si>
  <si>
    <t>1、配置2个station，station 0 配置成 x8 port 作为USP
2、station 1都配置成1个x8、2个x4 port作为DSP，DSP连接 lanes 匹配的Gen NVME盘</t>
  </si>
  <si>
    <t>PCIe_SYS_fanout_009</t>
  </si>
  <si>
    <t>station0 x4 USP，station1 c4444 DSP</t>
  </si>
  <si>
    <t>1、配置2个station，station 0 配置成 x4 port 作为USP
2、station 1都配置成4个x4 port作为DSP，DSP连接 lanes 匹配的Gen NVME盘</t>
  </si>
  <si>
    <t>usp配置的c4444</t>
  </si>
  <si>
    <t>PCIe_SYS_fanout_010</t>
  </si>
  <si>
    <t>station0 x4 USP，station1 c88 DSP</t>
  </si>
  <si>
    <t>1、配置2个station，station 0 配置成 x4 port 作为USP
2、station 1都配置成2个x8 port作为DSP，DSP连接 lanes 匹配的Gen NVME盘</t>
  </si>
  <si>
    <t>PCIe_SYS_fanout_011</t>
  </si>
  <si>
    <t>station0 x4 USP，station1 x16 DSP</t>
  </si>
  <si>
    <t>1、配置2个station，station 0 配置成 x4 port 作为USP
2、station 1都配置成1个x16 port作为DSP，DSP连接 lanes 匹配的Gen NVME盘</t>
  </si>
  <si>
    <t>PCIe_SYS_fanout_012</t>
  </si>
  <si>
    <t>station0 x4 USP，station1 c844 DSP</t>
  </si>
  <si>
    <t>1、配置2个station，station 0 配置成 x4 port 作为USP
2、station 1都配置成1个x8、2个x4 port作为DSP，DSP连接 lanes 匹配的Gen NVME盘</t>
  </si>
  <si>
    <t>PCIe_SYS_fanout_013</t>
  </si>
  <si>
    <t>station0 x8USP，x4DSP，x4DSP</t>
  </si>
  <si>
    <t>1、配置1个station，station 0 配置成 1个x8 USP，2个x4 DSP，DSP连接 lanes 匹配的Gen NVME盘</t>
  </si>
  <si>
    <t>FAIL</t>
  </si>
  <si>
    <t>规格上：目前不支持同station内，既有USP，又有DSP（yundu和yundu_v都不支持）</t>
  </si>
  <si>
    <t>有bug，perst写1，phy reset共用。</t>
  </si>
  <si>
    <t>PCIe_SYS_fanout_014</t>
  </si>
  <si>
    <t>station0 x8USP，x8DSP</t>
  </si>
  <si>
    <t>1、配置1个station，station 0 配置成 1个x8 USP，1个x8 DSP，DSP连接 lanes 匹配的Gen NVME盘</t>
  </si>
  <si>
    <t>目前不支持同station内，既有USP，又有DSP（yundu和yundu_v都不支持）</t>
  </si>
  <si>
    <t>H/U是否支持。</t>
  </si>
  <si>
    <t>PCIe_SYS_fanout_015</t>
  </si>
  <si>
    <t>station0 x4USP，x4DSP，x4DSP，x4DSP，</t>
  </si>
  <si>
    <t>1、配置1个station，station 0 配置成 4个x4 port，port0 作为USP，其他3个port作为DSP，DSP连接 lanes 匹配的Gen NVME盘</t>
  </si>
  <si>
    <t>PCIe_SYS_fanout_016</t>
  </si>
  <si>
    <t>7个station c4444</t>
  </si>
  <si>
    <t>USP 不能配置C4444</t>
  </si>
  <si>
    <t>PCIe_SYS_fanout_017</t>
  </si>
  <si>
    <t>任意USP，station1 c4444 DSP</t>
  </si>
  <si>
    <t>1、配置2个station，station 0 配置成任意USP
2、station 1都配置成4个x4 port作为DSP，DSP连接 lanes 匹配的Gen NVME盘</t>
  </si>
  <si>
    <t>PCIe_SYS_fanout_018</t>
  </si>
  <si>
    <t>任意USP，station1 c88 DSP</t>
  </si>
  <si>
    <t>1、配置2个station，station 0 配置成任意USP
2、station 1都配置成2个x8 port作为DSP，DSP连接 lanes 匹配的Gen NVME盘</t>
  </si>
  <si>
    <t>PCIe_SYS_fanout_019</t>
  </si>
  <si>
    <t>任意USP，station1 x16 DSP</t>
  </si>
  <si>
    <t>1、配置2个station，station 0 配置成任意USP
2、station 1都配置成1个x16 port作为DSP，DSP连接 lanes 匹配的Gen NVME盘</t>
  </si>
  <si>
    <t>PCIe_SYS_fanout_020</t>
  </si>
  <si>
    <t>任意USP，station1 c844_1 DSP</t>
  </si>
  <si>
    <t>1、配置2个station，station 0 配置成任意USP
2、station 1 port1配置成1个x8、port3与port4配置成2个x4 作为DSP，DSP连接 lanes 匹配的Gen NVME盘</t>
  </si>
  <si>
    <t>PCIe_SYS_fanout_021</t>
  </si>
  <si>
    <t>任意USP，station1 c844_2 DSP</t>
  </si>
  <si>
    <t>1、配置2个station，station 0 配置成任意USP
2、station 1 port2配置成1个x8、port3与port4配置成2个x4 作为DSP，DSP连接 lanes 匹配的Gen NVME盘</t>
  </si>
  <si>
    <t>PCIe_SYS_fanout_022</t>
  </si>
  <si>
    <t>配置USP，pipe_mux为C16O，port1 为USP，lane宽X16</t>
  </si>
  <si>
    <t>1、配置2个station，station0 pipe_mux为C16O，port1 为USP，lane宽X16
2、station 1 port1配置任意DSP，USP可以建链，开机可以枚举到switch，USP link speed、lane宽符合设定。</t>
  </si>
  <si>
    <t>主机能建链到x16，服务器能建链到x8；
现在均能建链到X16。</t>
  </si>
  <si>
    <t>PCIe_SYS_fanout_023</t>
  </si>
  <si>
    <t>配置USP，pipe_mux为C88，port2 为USP，lane宽X8</t>
  </si>
  <si>
    <t>1、配置2个station，station0 pipe_mux为C88，port2 为USP，lane宽X8
2、station 1 port1配置任意DSP，USP可以建链，开机可以枚举到switch，USP link speed、lane宽符合设定。</t>
  </si>
  <si>
    <t>串口循环打印，link up，开机识别不到switch</t>
  </si>
  <si>
    <t>PCIe_SYS_fanout_024</t>
  </si>
  <si>
    <t>配置USP，pipe_mux为C4444，port3 为USP，lane宽X4</t>
  </si>
  <si>
    <t>1、配置2个station，station0 pipe_mux为C4444，port3 为USP，lane宽X4
2、station 1 port1配置任意DSP，USP可以建链，开机可以枚举到switch，USP link speed、lane宽符合设定。</t>
  </si>
  <si>
    <t>USP不link</t>
  </si>
  <si>
    <t>可以补充usp c4444模式 port1(x16在phy3);usp c4444模式port2(x8在phy2)</t>
  </si>
  <si>
    <t>PCIe_SYS_fanout_025</t>
  </si>
  <si>
    <t>配置USP，pipe_mux为C4444，port4 为USP，lane宽X4</t>
  </si>
  <si>
    <t>1、配置2个station，station0 pipe_mux为C4444，port4为USP，lane宽X4
2、station 1 port1配置任意DSP，USP可以建链，开机可以枚举到switch，USP link speed、lane宽符合设定。</t>
  </si>
  <si>
    <t>端口形态3级用例</t>
  </si>
  <si>
    <t>port pipemux</t>
  </si>
  <si>
    <t>bifurcation</t>
  </si>
  <si>
    <t>级别</t>
  </si>
  <si>
    <t>功能</t>
  </si>
  <si>
    <t>用途</t>
  </si>
  <si>
    <t>16 usp</t>
  </si>
  <si>
    <t>基本fanout</t>
  </si>
  <si>
    <t>U16</t>
  </si>
  <si>
    <t>16 usp with ntb</t>
  </si>
  <si>
    <t>资源池化（insight）跨主机通信，存储双控内存镜像</t>
  </si>
  <si>
    <t>U16NTB</t>
  </si>
  <si>
    <t>x16</t>
  </si>
  <si>
    <t>16 dsp</t>
  </si>
  <si>
    <t>C16</t>
  </si>
  <si>
    <t>x8usp x8usp</t>
  </si>
  <si>
    <t>gpu互联，双控存储可能会用</t>
  </si>
  <si>
    <t>U88</t>
  </si>
  <si>
    <t>x8  x8</t>
  </si>
  <si>
    <t>x8dsp x8dsp</t>
  </si>
  <si>
    <t>正常fanout，gpu互联</t>
  </si>
  <si>
    <t>C88</t>
  </si>
  <si>
    <t>x8 x4 x4</t>
  </si>
  <si>
    <t>x8dsp x4dsp x4dsp</t>
  </si>
  <si>
    <t>服务器架构存储，DPU存储</t>
  </si>
  <si>
    <t>C844（X8port1）</t>
  </si>
  <si>
    <t>x4 x4 x8</t>
  </si>
  <si>
    <t>x4dsp x4dsp x8dsp</t>
  </si>
  <si>
    <t>C448(X8port2)</t>
  </si>
  <si>
    <t>x4 x4 x4 x4</t>
  </si>
  <si>
    <t>x4dsp x4dsp x4dsp x4dsp</t>
  </si>
  <si>
    <t>普通fanout，存储服务器</t>
  </si>
  <si>
    <t>C4444</t>
  </si>
  <si>
    <t>ASIC基础模式需要的端口形态</t>
  </si>
  <si>
    <t>形态一</t>
  </si>
  <si>
    <t>（Yundu）</t>
  </si>
  <si>
    <t>PORT0（NTB）</t>
  </si>
  <si>
    <t>PORT1（X16）</t>
  </si>
  <si>
    <t>PORT2（X8）</t>
  </si>
  <si>
    <t>PORT3（X4A）</t>
  </si>
  <si>
    <t>PORT4（X4B）</t>
  </si>
  <si>
    <t>覆盖的端口模式</t>
  </si>
  <si>
    <t>覆盖用例</t>
  </si>
  <si>
    <t>staion0</t>
  </si>
  <si>
    <t>-</t>
  </si>
  <si>
    <t>USP(x16/x8/x4)</t>
  </si>
  <si>
    <t>U16C16、U16C88、U16C844A、U16C844B、U16C4444</t>
  </si>
  <si>
    <t>fanout 14条
存储 4条
网络 4条
端口形态3级用例</t>
  </si>
  <si>
    <t>staion1</t>
  </si>
  <si>
    <t>U8C16、U8C88、U8C844A、U8C844B、U8C4444</t>
  </si>
  <si>
    <t>staion2</t>
  </si>
  <si>
    <t>U4C16、U4C88、U4C844A、U4C844B、U4C4444</t>
  </si>
  <si>
    <t>staion3</t>
  </si>
  <si>
    <t>staion4</t>
  </si>
  <si>
    <t>staion5</t>
  </si>
  <si>
    <t>staion6</t>
  </si>
  <si>
    <t>形态二</t>
  </si>
  <si>
    <t>U16C4444</t>
  </si>
  <si>
    <t xml:space="preserve">
存储 3条(station0,不能同时配置DSP，目前不支持station内既有USP又有DSP)
长期压力测试需要。</t>
  </si>
  <si>
    <t>形态三（目前支持）</t>
  </si>
  <si>
    <t>USP(x16)</t>
  </si>
  <si>
    <t>U16C16</t>
  </si>
  <si>
    <t xml:space="preserve">
日常测试形态，AI场景、网络场景需要</t>
  </si>
  <si>
    <t>形态四</t>
  </si>
  <si>
    <t>同station U8C8</t>
  </si>
  <si>
    <t>同station U4C4</t>
  </si>
  <si>
    <t>USP(x8)</t>
  </si>
  <si>
    <t>同station C844且U8</t>
  </si>
  <si>
    <t>USP(x4)</t>
  </si>
  <si>
    <t>同station U8C8、同station U4C444、同stationU8C44</t>
  </si>
  <si>
    <t>Status-Gen4X1</t>
  </si>
  <si>
    <t>Status-Gen5X1</t>
  </si>
  <si>
    <t>PCIe_SYS_SIG_001</t>
  </si>
  <si>
    <t>41-20 ReservedFieldsDLLPReceive</t>
  </si>
  <si>
    <t>Clear Device Status register failed</t>
  </si>
  <si>
    <t>BLOCK</t>
  </si>
  <si>
    <t>依赖训练器RC</t>
  </si>
  <si>
    <t>PCIe_SYS_SIG_002</t>
  </si>
  <si>
    <t>52-10 RetransmitOnNak</t>
  </si>
  <si>
    <t>PCIe_SYS_SIG_003</t>
  </si>
  <si>
    <t>52-11 ReplayTimerTest</t>
  </si>
  <si>
    <t>PCIe_SYS_SIG_004</t>
  </si>
  <si>
    <t>52-12 ReplayNumTest</t>
  </si>
  <si>
    <t>PCIe_SYS_SIG_005</t>
  </si>
  <si>
    <t>52-20 LinkRetrainOnRetryFail</t>
  </si>
  <si>
    <t>PCIe_SYS_SIG_006</t>
  </si>
  <si>
    <t>52-150 CorruptedDLLP</t>
  </si>
  <si>
    <t>PCIe_SYS_SIG_007</t>
  </si>
  <si>
    <t>52-160 UndefinedDLLPEncoding</t>
  </si>
  <si>
    <t>PCIe_SYS_SIG_008</t>
  </si>
  <si>
    <t>52-170 WrongSegNumInAckDLLP</t>
  </si>
  <si>
    <t>PCIe_SYS_SIG_009</t>
  </si>
  <si>
    <t>53-20 BadLCRC</t>
  </si>
  <si>
    <t>PCIe_SYS_SIG_010</t>
  </si>
  <si>
    <t>53-31 DuplicateTlpsegNum</t>
  </si>
  <si>
    <t>FAIL: Clear Device Status register</t>
  </si>
  <si>
    <t>PCIe_SYS_SIG_011</t>
  </si>
  <si>
    <t>53-32 WrongTlpsegNum</t>
  </si>
  <si>
    <t>PCIe_SYS_SIG_012</t>
  </si>
  <si>
    <t>53-40 Nulified TLP</t>
  </si>
  <si>
    <t>PCIe_SYS_SIG_013</t>
  </si>
  <si>
    <t>54-12 TXN BFT RequestCompletion UR</t>
  </si>
  <si>
    <t>PCIe_SYS_SIG_014</t>
  </si>
  <si>
    <t>54-30 PoisonedTLP</t>
  </si>
  <si>
    <t>PCIe_SYS_SIG_015</t>
  </si>
  <si>
    <t>54-20 BadECRC[FYI]</t>
  </si>
  <si>
    <t>Setting SERR# Enable bit in Command register failed</t>
  </si>
  <si>
    <t xml:space="preserve">Incorrect error bit was set in Device Status register in Function 0 </t>
  </si>
  <si>
    <t>PCIe_SYS_SIG_016</t>
  </si>
  <si>
    <t>55-10 ReservedBitsInTrainingsequences</t>
  </si>
  <si>
    <t>Test 55-10 Invalid max supported speed!</t>
  </si>
  <si>
    <t>Once all criteria for the platform LTSSM to move to the next LTSSM state have been 
met (as specified in Chapter 4 of the PCI Express Base Specification), the platform must 
make the transition to the next LTSSM state within 500 us.</t>
  </si>
  <si>
    <t>PCIe_SYS_SIG_017</t>
  </si>
  <si>
    <t>61-10 FunctionLevelReset(FLR) 1</t>
  </si>
  <si>
    <t>Getting FLR capability of Function 0 failed</t>
  </si>
  <si>
    <t>skip</t>
  </si>
  <si>
    <t xml:space="preserve">Function Level Reset is NOT supported in Function 0 </t>
  </si>
  <si>
    <t>PCIe_SYS_SIG_018</t>
  </si>
  <si>
    <t>65-10 L1 for D3 State</t>
  </si>
  <si>
    <t>Set Bus Master Enable bit failed</t>
  </si>
  <si>
    <t>PCIe_SYS_SIG_019</t>
  </si>
  <si>
    <t>66-10 Test ASPM-L1</t>
  </si>
  <si>
    <t>Set Active State Power Management Control field failed</t>
  </si>
  <si>
    <t>PCIe_SYS_SIG_020</t>
  </si>
  <si>
    <t>67-10 Bus/Device Number Capture</t>
  </si>
  <si>
    <t>No Cpl for CfgWr0</t>
  </si>
  <si>
    <t>PCIe_SYS_SIG_021</t>
  </si>
  <si>
    <t>52-100 ReplayTLPOrder</t>
  </si>
  <si>
    <t>Endpoint doesn't support two or more Np credits</t>
  </si>
  <si>
    <t>PCIe_SYS_SIG_022</t>
  </si>
  <si>
    <t>57-10 AdjustingInitialPreset 8.0 GT/s</t>
  </si>
  <si>
    <t>Current configured speed is Gen2 and this test requires at least Gen3, This test will be skipped</t>
  </si>
  <si>
    <t>Device Configuration：Gen2X1，受限于palladium 速率为gen2</t>
  </si>
  <si>
    <t>PCIe_SYS_SIG_023</t>
  </si>
  <si>
    <t>57-11 AdjustingInitialPreset 16.0 GT/s</t>
  </si>
  <si>
    <t>Current configured speed is Gen2 and this test requires at least Gen4, This test will be skipped</t>
  </si>
  <si>
    <t>PCIe_SYS_SIG_024</t>
  </si>
  <si>
    <t>57-12 AdjustingInitialPreset 32.0 GT/s</t>
  </si>
  <si>
    <t>Current configured speed is Gen2 and this test requires at least Gen5. This test will be skippe</t>
  </si>
  <si>
    <t>Current configured speed is Gen4 and this test requires at least Gen5. This test will be skipped</t>
  </si>
  <si>
    <t>PCIe_SYS_SIG_025</t>
  </si>
  <si>
    <t>58-10 AdjustingPresets 8.0 GT/s</t>
  </si>
  <si>
    <t>PCIe_SYS_SIG_026</t>
  </si>
  <si>
    <t>58-11 AdjustingPresets 16.0 GT/s</t>
  </si>
  <si>
    <t>PCIe_SYS_SIG_027</t>
  </si>
  <si>
    <t>58-12 AdjustingPresets 32.0 GT/s</t>
  </si>
  <si>
    <t>PCIe_SYS_SIG_028</t>
  </si>
  <si>
    <t>59-10 AdjustingCoefficients 8.0 GT/s</t>
  </si>
  <si>
    <t>PCIe_SYS_SIG_029</t>
  </si>
  <si>
    <t>59-11 AdjustingCoefficients 16.0 GT/s</t>
  </si>
  <si>
    <t>PCIe_SYS_SIG_030</t>
  </si>
  <si>
    <t>59-12 AdjustingCoefficients 32.0 GT/s</t>
  </si>
  <si>
    <t>PCIe_SYS_SIG_031</t>
  </si>
  <si>
    <t>61-20 FunctionLevelReset(FLR) 2</t>
  </si>
  <si>
    <t>Function Level Reset is NOT supported in Function 0</t>
  </si>
  <si>
    <t>PCIe_SYS_SIG_032</t>
  </si>
  <si>
    <t>62-10 LatencyToleranceRequests(LTR) 1</t>
  </si>
  <si>
    <t>DUT does not support LTR Mechanism in Device Capabilities 2 register. The test is skipped</t>
  </si>
  <si>
    <t xml:space="preserve">No LTR Messages were received, test skipped </t>
  </si>
  <si>
    <t>PCIe_SYS_SIG_033</t>
  </si>
  <si>
    <t>62-20 LatencyToleranceRequests(LTR) 2</t>
  </si>
  <si>
    <t>No LTR Messages were received, test skipped</t>
  </si>
  <si>
    <t>PCIe_SYS_SIG_034</t>
  </si>
  <si>
    <t>69-12 Precoding Test for 32.0 GT/s</t>
  </si>
  <si>
    <t>Test needs at least Gen5 in order to run!</t>
  </si>
  <si>
    <t xml:space="preserve">Current configured speed is Gen4 and this test requires at least Gen5. This test will be skipped </t>
  </si>
  <si>
    <t>PCIe_SYS_SIG_035</t>
  </si>
  <si>
    <t>70-10 Eoualization Redo for 8.0 GT/s (from 2.5 GT/s)</t>
  </si>
  <si>
    <t>Current configured speed is Gen2 and this test requires at least Gen3. This test wil be skipped</t>
  </si>
  <si>
    <t>PCIe_SYS_SIG_036</t>
  </si>
  <si>
    <t>71-10 Equalization Redo for 8.0 GT/s (from 5.0 GT/s)</t>
  </si>
  <si>
    <t>PCIe_SYS_SIG_037</t>
  </si>
  <si>
    <t>71-11 Equalization Redo for 16.0 GT/s (from 8.0 GT/s)</t>
  </si>
  <si>
    <t>Current configured speed is Gen2 and this test requires at least Gen4. This test wil be skipped</t>
  </si>
  <si>
    <t>PCIe_SYS_SIG_038</t>
  </si>
  <si>
    <t>71-12 Equalization Redo for 32.0 GT/s (from 16.0 GT/s)</t>
  </si>
  <si>
    <t>Current configured speed is Gen2 and this test requires at least Gen5. This test wil be skipped</t>
  </si>
  <si>
    <t>Current configured speed is Gen4 and this test requires at least
Gen5. This test will be skipped</t>
  </si>
  <si>
    <t>PCIe_SYS_SIG_039</t>
  </si>
  <si>
    <t>Phy2-7 Lane Margining at the Receiver (16.0 GT/s)</t>
  </si>
  <si>
    <t>Current confioured speed is Gen2 and this test reauires Gen4, This test wil be skipped</t>
  </si>
  <si>
    <t>Error vectors for time offset left/right are the same</t>
  </si>
  <si>
    <t>PCIe_SYS_SIG_040</t>
  </si>
  <si>
    <t>Phy2-8 Lane Margining at the Receiver (32.0 GT/s)</t>
  </si>
  <si>
    <t>Current configured speed is Gen2 and this test requires Gen5. This test wil be skipped</t>
  </si>
  <si>
    <t>Current configured speed is Gen4 and this test requires Gen5. This
test will be skipped</t>
  </si>
  <si>
    <t>PCIe_SYS_SIG_041</t>
  </si>
  <si>
    <t>68-10 Data Link Feature Packet</t>
  </si>
  <si>
    <t>No Initial Conditions</t>
  </si>
  <si>
    <t>yundu_asic_gen1_20240828_no_mep_dma</t>
  </si>
  <si>
    <t>yundu_asic_gen1_20240902_server_mcio_2.pack</t>
  </si>
  <si>
    <t>yundu_asic_base_20241023</t>
  </si>
  <si>
    <t>PCIe_SYS_存储_001</t>
  </si>
  <si>
    <t>磁盘健康检查</t>
  </si>
  <si>
    <t>1、多款不同型号的存储设备
2、安装兼容的linux操作系统
3、pcie switch正常
4、安装badblocks工具
5、安装fio、libaio</t>
  </si>
  <si>
    <t>1、同station内及不同station内均接入多款不同的nvme SSD盘
2、设备上电启动成功后，可以正常枚举待测存储设备，驱动状态正常
3、执行命令列出待测设备的设备文件名：nvme list
4、执行命令扫描接入pcieswitch环境后存储盘是否有损伤，其中/dev/xxx是第3步list出来的设备赌赢设备文件名：
badblocks  -s -v  /dev/xxx（intel全盘）
5、用硬盘监控和分析工具Smartctl进一步检查磁盘健康状态：
smartctl --all /dev/xxx</t>
  </si>
  <si>
    <t>1、设备枚举驱动状态等均正常
2、接入u.2NVMeSSD设备均可以通过nvme list出来;
3、全盘扫描无坏块
4、smartctl检测盘是健康状态</t>
  </si>
  <si>
    <t xml:space="preserve"> </t>
  </si>
  <si>
    <t>PCIe_SYS_存储_002</t>
  </si>
  <si>
    <t>存储场景：
存储盘读写功能及数据完好性--NVMe基本读写功能</t>
  </si>
  <si>
    <t>1、SSD连接SW和不连SW两种情况，比较性能
2、dd命令测试SSD读盘和写盘性能（先将数据写到系统盘）
DD命令并发写25G/50G/100G 的随机数据
DD命令并发读25G/50G/100G 的随机数据
3、md5sum校验检查读写的结果是否一致</t>
  </si>
  <si>
    <t>1、读写的功能正常及读写数据结果校验一致</t>
  </si>
  <si>
    <t>PCIe_SYS_存储_003</t>
  </si>
  <si>
    <t>1、FIO工具测试SSD IO性能
2、fio测试，顺序读 fio_512B_read1
3、fio测试，顺序写 fio_512B_write1
4、fio测试，随机读 fio_512B_randread1
5、fio测试，随机写 fio_512B_randwrite1
6、fio测试，顺序混合读写 fio_512B_rw1
7、fio测试，随机混合读写 fio_512B_randrw1
8、fio测试，顺序读 fio_1M_read1
9、fio测试，顺序写 fio_1M_write1
10、fio测试，随机读 fio_1M_randread1
11、fio测试，随机写 fio_1M_randwrite1
12、fio测试，顺序混合读写 fio_1M_rw1
13、fio测试，随机混合读写 fio_1M_randrw1
14、重复执行三次。</t>
  </si>
  <si>
    <t>1、磁盘压测正常</t>
  </si>
  <si>
    <t>WD盘</t>
  </si>
  <si>
    <t>PCIe_SYS_存储_004</t>
  </si>
  <si>
    <t>psync、intel SSD、gen5nvme盘。
1、FIO工具测试SSD IO性能
2、fio测试，顺序读 fio_512B_read1
3、fio测试，顺序写 fio_512B_write1
4、fio测试，随机读 fio_512B_randread1
5、fio测试，随机写 fio_512B_randwrite1
6、fio测试，顺序混合读写 fio_512B_rw1
7、fio测试，随机混合读写 fio_512B_randrw1
8、fio测试，顺序读 fio_1M_read1
9、fio测试，顺序写 fio_1M_write1
10、fio测试，随机读 fio_1M_randread1
11、fio测试，随机写 fio_1M_randwrite1
12、fio测试，顺序混合读写 fio_1M_rw1
13、fio测试，随机混合读写 fio_1M_randrw1
14、重复执行三次。</t>
  </si>
  <si>
    <t>1、查看每个盘写入数据是否正确，即可验证在并发情况下，SW也能正确路由数据包
2、每个链路数据传输带宽和速率满足协议要求</t>
  </si>
  <si>
    <t>PCIe_SYS_存储_005</t>
  </si>
  <si>
    <t xml:space="preserve">存储场景：fio裸盘全盘读写及校验测试（单盘）
</t>
  </si>
  <si>
    <t>1、顺序写（gen5 nvme 1%、intel SSD全盘）
fio --filename=/dev/nvme1n1 --ioengine=libaio --name=write_test --direct=1 --thread=1 --iodepth=512 --rw=write --bs=1M --numjobs=1 --size=100% --norandommap --fallocate=none --output=write.log
2、顺序读（gen5 nvme 1%、intel SSD全盘）
fio --filename=/dev/nvme0n1 --ioengine=libaio --name=read_test --direct=1 --thread=1 --iodepth=512 --rw=read --bs=1M --numjobs=1 --size=100% --norandommap --fallocate=none --output=read.log
3、校验（gen5 nvme 1% intel SSD全盘）
fio --filename=/dev/nvme1n1 --ioengine=libaio --name=write_test --direct=1 --thread=1 --iodepth=512 --rw=write --bs=1M --numjobs=1 --size=100% --norandommap --fallocate=none --verify=md5 --do_verify=1 --verify_dump=1 --output=verify1.log</t>
  </si>
  <si>
    <t>1、全盘读写及校验正常</t>
  </si>
  <si>
    <t>PCIe_SYS_存储_006</t>
  </si>
  <si>
    <t>1、顺序写（gen5 nvme 1%、intel SSD全盘）
fio --filename=/dev/nvme1n1 --ioengine=libaio --name=write_test --direct=1 --thread=1 --iodepth=512 --rw=write --bs=1M --numjobs=1 --size=100% --norandommap --fallocate=none --output=write.log
2、顺序读（gen5 nvme 1%、intel SSD全盘）
fio --filename=/dev/nvme0n1 --ioengine=libaio --name=read_test --direct=1 --thread=1 --iodepth=512 --rw=read --bs=1M --numjobs=1 --size=100% --norandommap --fallocate=none --output=read.log
3、校验（gen5 nvme 1% intel SSD全盘）
fio --filename=/dev/nvme1n1 --ioengine=libaio --name=write_test --direct=1 --thread=1 --iodepth=512 --rw=write --bs=1M --numjobs=1 --size=100% --norandommap --fallocate=none --verify=md5 --do_verify=1 --verify_dump=1 --output=verify.log</t>
  </si>
  <si>
    <t>1、多盘同时，读写及校验正常</t>
  </si>
  <si>
    <t>PCIe_SYS_存储_007</t>
  </si>
  <si>
    <t>存储场景：nvme进行fio读写时按时reset的测试写法（单盘）</t>
  </si>
  <si>
    <t>intelssd
1、一块nvme待测盘进行4K随机读写9小时，分别隔4,2,2个小时，对盘进行3次reset，观察盘的读写是否会停止。
2、执行nvme_reset_intelssd.sh 脚本。</t>
  </si>
  <si>
    <t>1、磁盘reset后正常读写</t>
  </si>
  <si>
    <t>PCIe_SYS_存储_008</t>
  </si>
  <si>
    <t>存储场景：多个nvme进行fio读写时按时reset的测试写法</t>
  </si>
  <si>
    <t>1、对所有的nvme待测盘进行4K随机读写24小时，分别隔8,4,2个小时，对盘进行3次reset，观察盘的读写是否会停止。
2、执行nvme_reset.sh 脚本。</t>
  </si>
  <si>
    <t>PCIe_SYS_存储_009</t>
  </si>
  <si>
    <t>存储场景：顺序写4k/8k/16k/32k/64k块的能力（关联数据库）</t>
  </si>
  <si>
    <t>MogDB 页默认8K；MySQL 页默认为16K；mongodb 页默认大小为32KB。 
intelssd
1、fio 8kseq.fio</t>
  </si>
  <si>
    <t>1、写正常</t>
  </si>
  <si>
    <t>PCIe_SYS_存储_010</t>
  </si>
  <si>
    <t>存储枚举功能</t>
  </si>
  <si>
    <t>1、同station内及不同station内均接入多款不同的nvme SSD盘
2、设备上电启动成功后通过lspci -tv 查看pcie树状图，相应接入的存储设备是否枚举到
3、通过lspci -s $BDF -vvnn查看对应存储设备枚举详细信息，检查bar空间信息以及linkcap/lnkSta状态中Speed、Width</t>
  </si>
  <si>
    <t>1、接入存储设备后的pcieswitch 树状图正常
2、所有接入的nvme SSD都能枚举到
3、所有存储设备bar空间正常，对应memory region没有 disable、ignore 等异常
4、link capability里的speed 和width符合对应EP接口；linkstatspeed 和width符合存储盘实际理论结果</t>
  </si>
  <si>
    <t>PCIe_SYS_存储_011</t>
  </si>
  <si>
    <t>驱动检查</t>
  </si>
  <si>
    <t xml:space="preserve">1、设备上电启动成功后通过lspci -s $BDF -vvnn 查看对应存储设备的驱动状态信息
2、确认是否有kernel driver in use：且其为nvme
且有kernel modules:为nvme
</t>
  </si>
  <si>
    <t>1、Kernel driver in use: nvme
Kernel modules: nvme</t>
  </si>
  <si>
    <t>PCIe_SYS_存储_012</t>
  </si>
  <si>
    <t>不同操作系统下的存储检查</t>
  </si>
  <si>
    <t>1、多款不同型号的存储设备
2、分别验证ubuntu、centos、redhat、SUSE、openEuler 的linux操作系统
3、pcie switch正常
4、安装badblocks工具
5、安装fio、libaio</t>
  </si>
  <si>
    <t>1、将待测存储外设接pcieswitch上
2、lspci -tv 查看是否枚举到所插外设存储
3、lspci -vvnn查看每块存储外设对应详细信息
4、nvme -list 列出所有外设存储盘符及厂家型号及容量大小
5、更换其他操作系统后重复步骤1-3</t>
  </si>
  <si>
    <t>1、存储外设及pcieswitch在不同操作系统均可枚举正常
2、细信息匹配</t>
  </si>
  <si>
    <t>ubuntu20.04、centos7.9</t>
  </si>
  <si>
    <t>PCIe_SYS_存储_013</t>
  </si>
  <si>
    <t>不同CPU架构下的存储检查</t>
  </si>
  <si>
    <t>1、多款不同型号的存储设备
2、安装兼容的linux操作系统
3、pcie switch正常
4、安装badblocks工具
5、安装fio、libaio
6、基于Ubuntu验证x86架构下intel/AMD /海光等CPU平台接pcieswitch的外设存储
7、基于Ubuntu验证arm架构下飞腾 CPU等CPU平台接pcieswitch的外设存储
8、基于openEuler验证鲲鹏CPU等CPU平台接pcieswitch的外设存储；
9、上述CPU架构平台接pcieswitch后pcieswitch树图正常</t>
  </si>
  <si>
    <t>1、在特定主流操作系统下将待测存储外设接pcieswitch上
2、lspci -tv 查看是否枚举到所插外设存储
3、lspci -vvnn查看每块存储外设对应详细信息
4、nvme -list 列出所有外设存储盘符及厂家型号及容量大小
5、更换其他CPU架构平台后重复步骤1-3</t>
  </si>
  <si>
    <t>1、pcieswitch在接了外设存储后，在不同CPU架构平台上状态均正常
2、pcieswitch接的存储外设可在不同CPU架构平台下正常枚举到，其详细信息匹配</t>
  </si>
  <si>
    <t>X86-Intel</t>
  </si>
  <si>
    <t>PCIe_SYS_存储_014</t>
  </si>
  <si>
    <t>不同品牌服务器下的存储检查</t>
  </si>
  <si>
    <t xml:space="preserve">
1、多款不同型号的存储设备
2、安装兼容的linux操作系统
3、pcie switch正常
4、安装badblocks工具
5、安装fio、libaio
6、主流品牌服务器（至少测top5）平台接pcieswitch可正常list出其树图
</t>
  </si>
  <si>
    <t>1、将待测存储外设接pcieswitch上，pcieswitch接在特定品牌主流服务器上（Ubuntu20.04系统）
2、lspci -tv 查看是否枚举到所插外设存储
3、lspci -vvnn查看每块存储外设对应详细信息
4、nvme -list 列出所有外设存储盘符及厂家型号及容量大小
5、更换其他品牌服务器后重复步骤1-3</t>
  </si>
  <si>
    <t>1、pcieswitch在接了外设存储后，在不同品牌主流服务器平台上状态均正常
2、pcieswitch接的存储外设可在不同品牌主流服务器平台上正常枚举到，其详细信息匹配</t>
  </si>
  <si>
    <t>PCIe_SYS_存储_015</t>
  </si>
  <si>
    <t>存储外设热插拔测试</t>
  </si>
  <si>
    <t>1、多款不同型号的存储设备，支持热插拔
2、安装兼容的linux操作系统
3、pcie switch正常，支持外设热插拔功能
4、安装badblocks工具
5、安装fio、libaio</t>
  </si>
  <si>
    <t>1、在pcieswitch运行时，确保pcieswitch和所接存储外设均是状态正常
2、在pcieswitch运行时，模拟SSD的热插拔动作
3、检查热插拔后的现象</t>
  </si>
  <si>
    <t>1、热插拔整个过程符合预期
2、所插拔外设最终接回pcieswitch后，pcieswitch和存储外设均还可以正常工作，设备所有信息均正常
3、系统没有崩掉</t>
  </si>
  <si>
    <t>PCIe_SYS_存储_016</t>
  </si>
  <si>
    <t>RAID0配置测试</t>
  </si>
  <si>
    <t>1、将多个存储外设SSD配置为RAID0模式
2、对组的RAID0进行块大小为4k的1G文件混合读写功能测试
fIo --name=test_mixedRW_nvme --ioengine=libaio --iodepth=16 --rw=randrw --rwmixread=70 --bs=4k --direct=1 --size=1G --numjobs=1 --runtime=60 --group_reporting --filename=fio_mixtest_nvme --output-format=terse --output=fio_results_nvme.txt
3、观察并记录整个测试过程系统状态</t>
  </si>
  <si>
    <t>1、无宕机、重启、蓝屏等异常，BIOS、BMC、系统日志无pcieswitch及存储设备相关报错
2、读写功能正常，可正常输出测试结果</t>
  </si>
  <si>
    <t>PCIe_SYS_存储_017</t>
  </si>
  <si>
    <t>高级别RAID功能测试</t>
  </si>
  <si>
    <t>1、将多个存储外设SSD配置为RAID1/10/5/6等模式
2、对组的RAID进行块大小为4k的1G文件混合读写功能测试
fIo --name=test_mixedRW_nvme --ioengine=libaio --iodepth=16 --rw=randrw --rwmixread=70 --bs=4k --direct=1 --size=1G --numjobs=1 --runtime=60 --group_reporting --filename=fio_mixtest_nvme --output-format=terse --output=fio_results_nvme.txt
3、观察并记录整个测试过程系统状态
4、测试完后，随意拔插一块盘后，检查raid是否恢复正常
5、对恢复正常的RAID再进行读写测试：
fIo --name=test_mixedRW_nvme --ioengine=libaio --iodepth=16 --rw=randrw --rwmixread=70 --bs=4k --direct=1 --size=1G --numjobs=1 --runtime=60 --group_reporting --filename=fio_mixtest_nvme --output-format=terse --output=fio_results_nvme.txt
6、观察并记录整个测试过程系统状态</t>
  </si>
  <si>
    <t>1、无宕机、重启、蓝屏等异常，BIOS、BMC、系统日志无pcieswitch及存储设备相关报错
2、读写功能正常，可正常输出测试结果
3、拔插盘后，RAID可恢复正常</t>
  </si>
  <si>
    <t xml:space="preserve">软raid测试可以正常读写，raid0、raid1、raid5
</t>
  </si>
  <si>
    <t>PCIe_SYS_存储_018</t>
  </si>
  <si>
    <t>单x16USP_r70/w30读写混合测试</t>
  </si>
  <si>
    <t>1、多款不同型号的存储设备
2、安装兼容的linux操作系统
3、pcie switch正常
4、安装badblocks工具
5、安装fio、libaio
6、多盘nvmeSSD接入pcieswitch （DSP端口均是x4）pcie基本功能正常
7、配置：单x16USP，21个x4 DSP，21块盘
功能测试建议用Gen3/4,性能测试用Gen5</t>
  </si>
  <si>
    <t>1、checkFIO版本为2.10确保可正常使用
2、使用FIO对多盘同时进行块大小为4k的1G文件混合读写功能测试
fIo --name=test_mixedRW_nvme --ioengine=libaio --iodepth=16 --rw=randrw --rwmixread=70 --bs=4k --direct=1 --size=1G --numjobs=1 --runtime=60 --group_reporting --filename=fio_mixtest_nvme --output-format=terse --output=fio_results_nvme.txt
3、观察并记录整个测试过程系统状态</t>
  </si>
  <si>
    <t>主机能usp能建链到x16
服务器只能建链到x8</t>
  </si>
  <si>
    <t>PCIe_SYS_存储_019</t>
  </si>
  <si>
    <t>单x8USP_r70/w30读写混合测试</t>
  </si>
  <si>
    <t>1、多款不同型号的存储设备
2、安装兼容的linux操作系统
3、pcie switch正常
4、安装badblocks工具
5、安装fio、libaio
6、多盘nvmeSSD接入pcieswitch （DSP端口均是x4）pcie基本功能正常
7、配置：单x8USP，23个x4 DSP，23块盘
功能测试建议用Gen3/4,性能测试用Gen5</t>
  </si>
  <si>
    <t>1、checkFIO版本为2.10确保可正常使用；
2、使用FIO对多盘同时进行块大小为4k的1G文件混合读写功能测试
fIo --name=test_mixedRW_nvme --ioengine=libaio --iodepth=16 --rw=randrw --rwmixread=70 --bs=4k --direct=1 --size=1G --numjobs=1 --runtime=60 --group_reporting --filename=fio_mixtest_nvme --output-format=terse --output=fio_results_nvme.txt
3、观察并记录整个测试过程系统状态</t>
  </si>
  <si>
    <t>station6只有一个x4可用
yundu和yunduvu不支持单station内既有usp又有dsp
故最多21个盘</t>
  </si>
  <si>
    <t>PCIe_SYS_存储_020</t>
  </si>
  <si>
    <t>单x4USP_r70/w30读写混合测试</t>
  </si>
  <si>
    <t>1、多款不同型号的存储设备
2、安装兼容的linux操作系统
3、pcie switch正常
4、安装badblocks工具
5、安装fio、libaio
6、多盘nvmeSSD接入pcieswitch （DSP端口均是x4）pcie基本功能正常
7、配置：单x4USP，24个x4 DSP，24块盘
功能测试建议用Gen3/4,性能测试用Gen5</t>
  </si>
  <si>
    <t>PCIe_SYS_存储_021</t>
  </si>
  <si>
    <t>存储场景：FIO测试SSD的IO性能（libaio）--单盘</t>
  </si>
  <si>
    <t>1、整个测试过程无异常
2、和不接switch单盘性能测试结果对比接近
3、至少和竞品性能相当</t>
  </si>
  <si>
    <t>PCIe_SYS_存储_022</t>
  </si>
  <si>
    <t>多端口链路并发_C88_r70/w30读写混合测试</t>
  </si>
  <si>
    <t>1、多款不同型号的存储设备
2、安装兼容的linux操作系统
3、pcie switch正常
4、安装badblocks工具
5、安装fio、libaio
6、多盘nvmeSSD接入pcieswitch （C88:DSP端口均是x8）pcie基本功能正常
7、配置：单x8USP，station：x8dsp+x8dsp，至少2块NVME盘覆盖一个完整的x8+x8station
功能测试建议用Gen3/4,性能测试用Gen5</t>
  </si>
  <si>
    <t>PCIe_SYS_存储_023</t>
  </si>
  <si>
    <t>多端口链路并发_C844_r70/w30读写混合测试</t>
  </si>
  <si>
    <t>1、多款不同型号的存储设备
2、安装兼容的linux操作系统
3、pcie switch正常
4、安装badblocks工具
5、安装fio、libaio
6、多盘nvmeSSD接入pcieswitch （C844（X8port1））pcie基本功能正常
7、配置：单x8USP，station：x8dsp x4dsp x4dsp，至少3块NVME盘覆盖一个完整的x8dsp x4dsp x4dspstation
功能测试建议用Gen3/4,性能测试用Gen5</t>
  </si>
  <si>
    <t>PCIe_SYS_存储_024</t>
  </si>
  <si>
    <t>多端口链路并发_C448_r70/w30读写混合测试</t>
  </si>
  <si>
    <t>1、多款不同型号的存储设备
2、安装兼容的linux操作系统
3、pcie switch正常
4、安装badblocks工具
5、安装fio、libaio
6、多盘nvmeSSD接入pcieswitch （DSP端口C448(X8port2)）pcie基本功能正常
7、配置：单x8USP，station：x4dsp x4dsp x8dsp，至少3块NVME盘覆盖一个完整的x4dsp x4dsp x8dspstation
功能测试建议用Gen3/4,性能测试用Gen5</t>
  </si>
  <si>
    <t>PCIe_SYS_存储_025</t>
  </si>
  <si>
    <t>多端口链路并发_C4444_r70/w30读写混合测试</t>
  </si>
  <si>
    <t>1、多款不同型号的存储设备
2、安装兼容的linux操作系统
3、pcie switch正常
4、安装badblocks工具
5、安装fio、libaio
6、多盘nvmeSSD接入pcieswitch （DSP端口C4444）pcie基本功能正常
7、配置：单x8USP，station：x4dsp x4dsp x4dsp x4dsp，至少4块NVME盘覆盖一个完整的x4dsp x4dsp x4dsp x4dsp station
功能测试建议用Gen3/4,性能测试用Gen5</t>
  </si>
  <si>
    <t>PCIe_SYS_存储_026</t>
  </si>
  <si>
    <t>NVMe over TCP</t>
  </si>
  <si>
    <t>1、两张网卡、一块NVMe盘
2、安装兼容的linux操作系统
3、pcie switch正常
4、安装badblocks工具
5、虚拟机安装fio、libaio
6、将被测网口连接交换机同一LAN下并使网口link状态为up</t>
  </si>
  <si>
    <t>1、lspci -tv与lspci -vvnn查看每块网卡、NVMe盘PCIe信息，ip link确认对应网口信息，nvme list确认NVMe盘信息
2、每块网卡选择其中一个PF接口各自VFIO直通到两台虚拟机中，同时将NVMe VFIO直通到VM1虚机中
3、在两个虚拟机内查看PCIe设备的lspci -vvnn信息，并检查ip link状态、nvme list状态
4、配置NVMe over TCP，在VM2上通过TCP连接远端NVMe,nvme list查看状态
5、使用FIO工具测试随机读写、MD5校验、iodepth=4、numjobs=4、ioengine=libaio、bs=1M</t>
  </si>
  <si>
    <t>1、网卡与NVMe盘枚举信息正常，ip link与nvme list可查看到对应PCIe设备信息
2、虚机内网卡与NVMe盘枚举信息正常，ip link与nvme list可查看到对应PCIe设备信息
3、VM2上查看nvme list连接远端target后信息正常
4、测试结果无异常，检查PCIe信息，PCIe设备未出现异常</t>
  </si>
  <si>
    <t>与网路场景case交叉重复，测一遍即可</t>
  </si>
  <si>
    <t>PCIe_SYS_存储_027</t>
  </si>
  <si>
    <t>NVMe over RDMA</t>
  </si>
  <si>
    <t>1、两张支持RDMA的网卡、一块NVMe盘
2、安装兼容的linux操作系统
3、pcie switch正常
4、安装badblocks工具
5、虚拟机安装fio、libaio
6、将被测网口连接交换机同一LAN下并使网口link状态为up</t>
  </si>
  <si>
    <t>1、lspci -tv与lspci -vvnn查看每块网卡、NVMe盘PCIe信息，ip link确认对应网口信息，nvme list确认NVMe盘信息
2、每块网卡选择其中一个PF接口各自VFIO直通到两台虚拟机中，同时将NVMe VFIO直通到VM1虚机中
3、在两个虚拟机内查看PCIe设备的lspci -vvnn信息，并检查ip link状态、nvme list状态
4、配置NVMe over TCP，在VM2上通过RDMA连接远端NVMe,nvme list查看状态
5、使用FIO工具测试随机读写、MD5校验、iodepth=4、numjobs=4、ioengine=libaio、bs=1M</t>
  </si>
  <si>
    <t>PCIe_SYS_存储_028</t>
  </si>
  <si>
    <t>Active/Active fail-over应用测试-多主机</t>
  </si>
  <si>
    <t>P1</t>
  </si>
  <si>
    <t>NT</t>
  </si>
  <si>
    <t>待实际搭建研究，可能需要FW支持；依赖NTB，暂不支持。先删除，后续支持合成模式后验证。</t>
  </si>
  <si>
    <t>PCIe_SYS_存储_029</t>
  </si>
  <si>
    <t>Active/Passive fail-over应用测试-多主机</t>
  </si>
  <si>
    <t>PCIe_SYS_存储_030</t>
  </si>
  <si>
    <t>双端口盘链路冗余测试</t>
  </si>
  <si>
    <t>1.双端口盘确保在竞品上验证功能正常；
2.安装FIO：2.10版本，安装libaio</t>
  </si>
  <si>
    <t>1.一个双端口盘同时接在pcieswitch2个不同DSP port口，Host启动；
2.host启动后系统下检查是否可以看到2个EP设备（nvme SSD存储盘）；
3.对识别到的2个nvme SSD设备进行FIO读写功能测试；
4.对其中一个nvme设备的连接进行中断操作，并检查另外一个nvme设备是否可以保持存在且可正常读写；</t>
  </si>
  <si>
    <t>1.Switch接双端口，host可以正常启动，且Switch和双端口设备均可正常识别（双端口设备识别为2个独立的nvmeSSD 设备）每个nvmeSSD均与物理磁盘容量等各种详细信息相同；
2.2个识别到的nvme 存储设备均可正常读写；
3.其中任意一个中断后，另外一个还保持正常存在，可正常读写访问等</t>
  </si>
  <si>
    <t>X2盘的建链。是否有X2的线。没有双端口线缆。暂时删除</t>
  </si>
  <si>
    <t>yundu_asic_gen1_0829_removed_nvme</t>
  </si>
  <si>
    <t>yundu_asic_gen1_20240902_server_mcio_2</t>
  </si>
  <si>
    <t>yundu_asic_gen1_20240906_server_mcio_2</t>
  </si>
  <si>
    <t>yundu_asic_base_20240924</t>
  </si>
  <si>
    <t>yundu_asic_base_20241008</t>
  </si>
  <si>
    <t>yundu_asic_base_20241015</t>
  </si>
  <si>
    <t>yundu_asic_base_20241111</t>
  </si>
  <si>
    <t>备注</t>
  </si>
  <si>
    <t>PCIe_SYS_ENUM_001</t>
  </si>
  <si>
    <t>系统上电枚举</t>
  </si>
  <si>
    <t>single function EP</t>
  </si>
  <si>
    <t>1. DSP接single function EP
2. lspci -tv -Dnn查看PCI树
3. lspci -vvs查看设备详细信息</t>
  </si>
  <si>
    <t>所有设备都可以枚举到，PCI树正确，且IO/Memory BAR空间分配正常。（iDSP和iEP也要枚举到）</t>
  </si>
  <si>
    <t>训练器RC不可用，训练器EP可用；分析仪可用。</t>
  </si>
  <si>
    <t>PCIe_SYS_ENUM_002</t>
  </si>
  <si>
    <t>设备重新上下电枚举</t>
  </si>
  <si>
    <t>1. cat /sys/bus/pci/slots/$slot/address找到DSP所对应的slot ID
2. cd/sys/bus/pci/slots/$slot，运行echo 0 &gt; power给EP设备下电，lspci查看EP设备是否存在
3. 运行echo 1 &gt; power给EP设备上电，lspci查看EP设备是否存在</t>
  </si>
  <si>
    <t>设备下电，lspci无法枚举到设备
设备上电，lspci能够枚举到设备</t>
  </si>
  <si>
    <t>PCIe_SYS_ENUM_003</t>
  </si>
  <si>
    <t>SW classid vendorid deviceid 枚举</t>
  </si>
  <si>
    <t>1. lspci -D -n查看USP DSP classid</t>
  </si>
  <si>
    <t>对于桥设备 classid 为 0604（包括iDSP）</t>
  </si>
  <si>
    <t>PCIe_SYS_ENUM_004</t>
  </si>
  <si>
    <t>NT DMA MEP classid 枚举</t>
  </si>
  <si>
    <t>1. lspci -D -n查看NT DMA MEP classid</t>
  </si>
  <si>
    <t>对于EP设备 classid 为 0108或0880</t>
  </si>
  <si>
    <t>PCIe_SYS_ENUM_005</t>
  </si>
  <si>
    <t>卸载外部EP驱动再重新绑定，枚举正常</t>
  </si>
  <si>
    <t>1. echo ${bdf} &gt; /sys/bus/pci/drivers/${ep_driver}/unbind
2. echo ${bdf} &gt; /sys/bus/pci/drivers/${ep_driver}/bind</t>
  </si>
  <si>
    <t>驱动卸载，再加载驱动成功，设备正常工作</t>
  </si>
  <si>
    <t>PCIe_SYS_ENUM_006</t>
  </si>
  <si>
    <t>卸载DMA驱动再重新绑定，枚举正常</t>
  </si>
  <si>
    <t>PCIe_SYS_ENUM_007</t>
  </si>
  <si>
    <t>NT DMA MEP vendorid deviceid 枚举</t>
  </si>
  <si>
    <t>1. lspci -D -n查看NT DMA MEP vendorid deviceid</t>
  </si>
  <si>
    <t>vid did需要符合预期</t>
  </si>
  <si>
    <t>PCIe_SYS_RST_001</t>
  </si>
  <si>
    <t>SW冷复位后，枚举正常</t>
  </si>
  <si>
    <t>1. 系统断电重启
2. lspci -tv -Dnn查看PCI树
3. lspci -vvs查看设备详细信息</t>
  </si>
  <si>
    <t>冷复位后，所有设备都可以枚举到，PCI树正确，且IO/Memory BAR空间分配正常。（iDSP和iEP也要枚举到）</t>
  </si>
  <si>
    <t>PCIe_SYS_RST_002</t>
  </si>
  <si>
    <t>SW暖复位后，枚举正常</t>
  </si>
  <si>
    <t>1. 命令行reboot重启
2. lspci -tv -Dnn查看PCI树
3. lspci -vvs查看设备详细信息</t>
  </si>
  <si>
    <t>暖复位后，所有设备都可以枚举到，PCI树正确，且IO/Memory BAR空间分配正常。（iDSP和iEP也要枚举到）</t>
  </si>
  <si>
    <t>PCIe_SYS_RST_003</t>
  </si>
  <si>
    <t>支持热复位USP</t>
  </si>
  <si>
    <t>1. 对USP Bridge Ctrl寄存器 Secondary Bus Reset bit 写1
2. 对USP Bridge Ctrl寄存器 Secondary Bus Reset bit 写0
3. lspci -vvs ${USP_BDF}查看USP配置空间
4. lspci -vvs ${DSP_BDF}查看DSP配置空间
5. devmem查看EP配置空间</t>
  </si>
  <si>
    <t>1. USP本身不进行复位，复位后配置空间和链路状态正常，lspci -vvs ${USP_BDF}正常
2. DSP进行复位，配置空间恢复到初始值，lspci -vvs ${DSP_BDF} IO/Memory BAR base limit等为0
3. DSP下的EP设备进行复位
4. 不能通过lspci查看EP配置空间</t>
  </si>
  <si>
    <t>PCIe_SYS_RST_004</t>
  </si>
  <si>
    <t>支持热复位DSP</t>
  </si>
  <si>
    <t>1. 对DSP Bridge Ctrl寄存器 Secondary Bus Reset bit 写1
2. 对DSP Bridge Ctrl寄存器 Secondary Bus Reset bit 写0
3. lspci -vvs ${DSP_BDF}查看DSP配置空间
4. lspci -vvs ${EP_BDF}查看EP配置空间</t>
  </si>
  <si>
    <t>1. DSP本身也进行复位，但是FW会对DSP配置空间进行反拷贝，因此DSP配置空间会恢复到复位前状态
2. EP也被复位，配置空间恢复到初始状态，lspci -vvs ${EP_BDF} IO/Memory BAR等为0（EP复位行为是实现自定义的，有些EP复位后配置空间也会恢复，且能够正常使用）</t>
  </si>
  <si>
    <t>PCIe_SYS_RST_005</t>
  </si>
  <si>
    <t>支持热复位 DMA iDSP</t>
  </si>
  <si>
    <t>1. 对iDSP Bridge Ctrl寄存器 Secondary Bus Reset bit 写1
2. 对iDSP Bridge Ctrl寄存器 Secondary Bus Reset bit 写0
3. lspci -vvs ${iDSP_BDF}查看DSP配置空间
4. lspci -vvs ${EP_BDF}查看EP配置空间</t>
  </si>
  <si>
    <t>1. iDSP本身不进行复位
2. iEP被复位，配置空间恢复到初始状态，lspci -vvs ${EP_BDF} IO/Memory BAR等为0</t>
  </si>
  <si>
    <t>PCIe_SYS_RST_006</t>
  </si>
  <si>
    <t>支持热复位 MEP iDSP</t>
  </si>
  <si>
    <t>PCIe_SYS_RST_007</t>
  </si>
  <si>
    <t>支持MEP FLR</t>
  </si>
  <si>
    <t>1. 对MEP设备Device Control Register寄存器  Initiate Function Level Reset bit 写1 触发FLR
2.  lspci -vvs ${MEP_BDF}查看MEP配置空间</t>
  </si>
  <si>
    <t>管理 EP被复位，部分配置空间和状态机恢复到初始值，以下寄存器状态不变：
1. sticky-type registers (ROS, RWS, RW1CS)
2. registers defined as type HwInit
3. 部分寄存器中的特殊位，如MPS/RCB/ASPM等等</t>
  </si>
  <si>
    <t>与莉莉确认yundu回片无此功能，yunduv才有</t>
  </si>
  <si>
    <t>PCIe_SYS_RST_008</t>
  </si>
  <si>
    <t>反复reboot主机，枚举正常</t>
  </si>
  <si>
    <t>1. 命令行reboot重启
2. lspci -tv -Dnn查看PCI树
3. lspci -vvs查看设备详细信息
4. 重复上面步骤5~10次</t>
  </si>
  <si>
    <t>反复reboot后，所有设备都可以枚举到，PCI树正确，且IO/Memory BAR空间分配正常。</t>
  </si>
  <si>
    <t>PCIe_SYS_MEM_001</t>
  </si>
  <si>
    <t>支持转发64位MWr MRd 内存读写请求TLP，HOST-&gt;EP方向（下行包），读写64bit Prefetchable EP BAR</t>
  </si>
  <si>
    <t>EP? E810/710</t>
  </si>
  <si>
    <t>1. 系统上电后，lspci确认EP设备存在，查看设备Mem 64位 Prefetchable BAR空间地址
2. devmem ADDR w DATA 对64位BAR空间写入数据
3. devmem ADDR w 读取刚刚写入的数据，判断是否与写入数据一致</t>
  </si>
  <si>
    <t>能够对64位Mem Prefetchable BAR空间正常写入和读取，且读取到的数据与写入数据一致</t>
  </si>
  <si>
    <t>PCIe_SYS_MEM_002</t>
  </si>
  <si>
    <t>支持转发64位MWr MRd 内存读写请求TLP，HOST-&gt;EP方向（下行包），读写64bit Non-Prefetchable EP BAR</t>
  </si>
  <si>
    <t>WD nvme盘</t>
  </si>
  <si>
    <t>1. 系统上电后，lspci确认EP设备存在，查看设备Mem 64位 Non-Prefetchable BAR空间地址
2. devmem ADDR w DATA 对64位BAR空间写入数据
3. devmem ADDR w 读取刚刚写入的数据，判断是否与写入数据一致</t>
  </si>
  <si>
    <t>能够对64位Mem Non-Prefetchable BAR空间正常写入和读取，且读取到的数据与写入数据一致</t>
  </si>
  <si>
    <t>PCIe_SYS_MEM_003</t>
  </si>
  <si>
    <t>支持转发32位MWr MRd 内存读写请求TLP，HOST-&gt;EP方向（下行包），读写32bit Prefetchable EP BAR</t>
  </si>
  <si>
    <t>EP? 没有对应设备暂时不统计</t>
  </si>
  <si>
    <t>1. 系统上电后，lspci确认EP设备存在，查看设备Mem 32位PrefetchableBAR空间地址
2. devmem ADDR w DATA 对32位BAR空间写入数据
3. devmem ADDR w 读取刚刚写入的数据，判断是否与写入数据一致</t>
  </si>
  <si>
    <t>能够对32位Mem Prefetchable BAR空间正常写入和读取，且读取到的数据与写入数据一致</t>
  </si>
  <si>
    <t>未找到匹配的EP</t>
  </si>
  <si>
    <t>PCIe_SYS_MEM_004</t>
  </si>
  <si>
    <t>支持转发32位MWr MRd 内存读写请求TLP，HOST-&gt;EP方向（下行包），读写32bit Non-Prefetchable EP BAR</t>
  </si>
  <si>
    <t>EP?710/SATA controller: Marvell Technology Group Ltd. Device 9215 (rev 11)(prog-if 01 [AHCI 1.0]/T4显卡</t>
  </si>
  <si>
    <t>1. 系统上电后，lspci确认EP设备存在，查看设备Mem 32位 Non-Prefetchable BAR空间地址
2. devmem ADDR w DATA 对32位BAR空间写入数据
3. devmem ADDR w 读取刚刚写入的数据，判断是否与写入数据一致</t>
  </si>
  <si>
    <t>能够对32位Mem Non-Prefetchable BAR空间正常写入和读取，且读取到的数据与写入数据一致</t>
  </si>
  <si>
    <t>PCIe_SYS_MEM_005</t>
  </si>
  <si>
    <t>支持转发Wr MRd 内存读写请求TLP，EP-&gt;HOST方向（上行包）</t>
  </si>
  <si>
    <t>接入NVMe盘</t>
  </si>
  <si>
    <t>1. 在主机mem空间内创建文件，并写入内容
2. 使用dd命令将文件从主机拷贝到NVMe盘（读主机mem），查看拷贝后的文件跟原文件是否一致
3. 使用dd命令将文件从NVMe盘写入到主机（写主机mem），查看写入文件与原文件是否一致</t>
  </si>
  <si>
    <t>NVMe盘能够对主机内存正常写入和读取，且数据前后一致</t>
  </si>
  <si>
    <t>PCIe_SYS_MEM_006</t>
  </si>
  <si>
    <t>支持读写SW MEP Mem BAR空间</t>
  </si>
  <si>
    <t>1. 系统上电后，lspci确认SW 管理EP设备存在，查看设备Mem BAR空间地址
2. devmem ADDR w DATA 对BAR空间写入数据
3. devmem ADDR w 读取刚刚写入的数据，判断是否与写入数据一致
4. 每个BAR空间逐个测试</t>
  </si>
  <si>
    <t>能够读写DMA BAR空间，且读取到的数据与写入数据一致</t>
  </si>
  <si>
    <t>PCIe_SYS_MEM_007</t>
  </si>
  <si>
    <t>支持读写SW DMA Mem BAR空间</t>
  </si>
  <si>
    <t>1. 系统上电后，lspci确认SW DMA设备存在，查看设备Mem BAR空间地址
2. devmem ADDR w DATA 对BAR空间写入数据
3. devmem ADDR w 读取刚刚写入的数据，判断是否与写入数据一致
4. 每个BAR空间逐个测试</t>
  </si>
  <si>
    <t>能够读写管理EP BAR空间，且读取到的数据与写入数据一致</t>
  </si>
  <si>
    <t>PCIe_SYS_MEM_008</t>
  </si>
  <si>
    <t>USP Bus Master功能测试</t>
  </si>
  <si>
    <t>1. setpci设置USP command寄存器Bus Master bit为0
2. NVMe读写主存
3. lspci查看SW配置空间</t>
  </si>
  <si>
    <t>NVMe无法读写主存，lspci查看SW配置空间出现UR错误，读写超时，设备驱动解绑，报UR错误，重新设置bus master， 设备下电再上电，触发热插拔，驱动重新匹配</t>
  </si>
  <si>
    <t>No</t>
  </si>
  <si>
    <t>PCIe_SYS_MEM_009</t>
  </si>
  <si>
    <t>DSP Bus Master功能测试</t>
  </si>
  <si>
    <t>1. setpci设置DSP command寄存器Bus Master bit为0
2. NVMe读写主存
3. lspci查看SW配置空间</t>
  </si>
  <si>
    <t>UE被转为CE</t>
  </si>
  <si>
    <t>PCIe_SYS_MEM_010</t>
  </si>
  <si>
    <t>DMA iDSP Bus Master功能测试</t>
  </si>
  <si>
    <t>yundu_v已解决</t>
  </si>
  <si>
    <t>PCIe_SYS_MEM_011</t>
  </si>
  <si>
    <t>USP Memory Enable功能测试</t>
  </si>
  <si>
    <t>1. setpci设置USP command寄存器Memory Space Enable bit为0
2. 主机读写EP设备memory BAR空间
3. lspci查看SW配置空间</t>
  </si>
  <si>
    <t>无法读写EP memory BAR空间，lspci查看SW配置空间出现UR错误</t>
  </si>
  <si>
    <t>PCIe_SYS_MEM_012</t>
  </si>
  <si>
    <t>DSP Memory Enable功能测试</t>
  </si>
  <si>
    <t>1. setpci设置DSP command寄存器Memory Space Enable bit为0
2. 主机读写EP设备memory BAR空间
3. lspci查看SW配置空间</t>
  </si>
  <si>
    <t>PCIe_SYS_MEM_013</t>
  </si>
  <si>
    <t>MRd MWr TLP DW BE字段</t>
  </si>
  <si>
    <t>需要分析仪</t>
  </si>
  <si>
    <t>1. 设备读主存，长度在一个DW之内，对其&amp;非对其
2. 设备读主存，长度大于1DW，小于2DW，对其&amp;非对其
3. 设备读主存，长度大于3DW，对其&amp;非对其</t>
  </si>
  <si>
    <t>1. Last DW BE为0b0000，First DW BE字段对应位置为1
2. First DW BE 字段和Last DW BE 字段允许有不连续的置1 位，Last DW BE 字段一定不能为0b0000。
3. First DW BE 字段和Last DW BE 字段不允许有不连续的置1 位，Last DW BE 字段一定不能为0b0000。</t>
  </si>
  <si>
    <t>PCIe_SYS_MEM_014</t>
  </si>
  <si>
    <t>MEP Bus Master功能测试</t>
  </si>
  <si>
    <t>不好构造</t>
  </si>
  <si>
    <t>访问失败，lspci查看MEP配置空间出现UR错误</t>
  </si>
  <si>
    <t>PCIe_SYS_MEM_015</t>
  </si>
  <si>
    <t>DMA Bus Master功能测试</t>
  </si>
  <si>
    <t>1. setpci设置DMA command寄存器Bus Master bit为0
2. 调用DMA接口从RC搬数据到DMA BAR空间
3. lspci查看DMA配置空间</t>
  </si>
  <si>
    <t>DMA传输失败，lspci查看DMA配置空间出现UR错误</t>
  </si>
  <si>
    <t>PCIe_SYS_MEM_016</t>
  </si>
  <si>
    <t>MEP Memory Enable功能测试</t>
  </si>
  <si>
    <t>1. setpci设置MEP command寄存器Memory Space Enable bit为0
2. 主机读写 MEP memory BAR空间
3. lspci查看MEP配置空间</t>
  </si>
  <si>
    <t>无法读写MEP memory BAR空间，lspci查看MEP配置空间出现UR错误</t>
  </si>
  <si>
    <t>PCIe_SYS_MEM_017</t>
  </si>
  <si>
    <t>DMA Memory Enable功能测试</t>
  </si>
  <si>
    <t>1. setpci设置DMA command寄存器Memory Space Enable bit为0
2. 主机读写 DMA memory BAR空间
3. lspci查看DMA配置空间</t>
  </si>
  <si>
    <t>无法读写DMA memory BAR空间，lspci查看DMA配置空间出现UR错误</t>
  </si>
  <si>
    <t>DMA bar2是不允许读的</t>
  </si>
  <si>
    <t>PCIe_SYS_MEM_018</t>
  </si>
  <si>
    <t>MEP iDSP Memory Enable功能测试</t>
  </si>
  <si>
    <t>1. setpci设置MEP iDSP寄存器Memory Space Enable bit为0
2. 主机读写 MEP memory BAR空间
3. lspci查看iDSP配置空间</t>
  </si>
  <si>
    <t>PCIe_SYS_MEM_019</t>
  </si>
  <si>
    <t>DMA iDSP Memory Enable功能测试</t>
  </si>
  <si>
    <t>1. setpci设置DMA iDSP寄存器Memory Space Enable bit为0
2. 主机读写 DMA memory BAR空间
3. lspci查看iDSP配置空间</t>
  </si>
  <si>
    <t>PCIe_SYS_CFG_001</t>
  </si>
  <si>
    <t>支持主机读写SW USP配置空间</t>
  </si>
  <si>
    <t>1. lspci -vvs查看USP具体信息，在这个过程中已经涉及配置空间读写，如果能够正常list出设备，说明没有问题
2. cd /sys/bus/pci/devices/$bdf；hexdump config 读取配置空间
3. setpci -s $BDF $04.w=$data|7 写command寄存器，data为command寄存器初始值，即使能IO、使能Mem、使能Bus Master，然后hexdump config读取，查看写入是否成功
4. 恢复command寄存器初始值</t>
  </si>
  <si>
    <t>hexdump config读取配置空间成功，setpci写入配置空间成功</t>
  </si>
  <si>
    <t>PCIe_SYS_CFG_002</t>
  </si>
  <si>
    <t>支持主机读写SW DSP配置空间</t>
  </si>
  <si>
    <t>1. lspci -vvs查看DSP具体信息，在这个过程中已经涉及配置空间读写，如果能够正常list出设备，说明没有问题
2. cd /sys/bus/pci/devices/$bdf；hexdump config 读取配置空间
3. setpci -s $BDF $04.w=$data|7 写command寄存器，data为command寄存器初始值，即使能IO、使能Mem、使能Bus Master，然后hexdump config读取，查看写入是否成功
4. 恢复command寄存器初始值</t>
  </si>
  <si>
    <t>PCIe_SYS_CFG_003</t>
  </si>
  <si>
    <t>支持主机读写SW DMA配置空间</t>
  </si>
  <si>
    <t>1. lspci -vvs查看DMA设备具体信息，在这个过程中已经涉及配置空间读写，如果能够正常list出设备，说明没有问题
2. cd /sys/bus/pci/devices/$bdf；hexdump config 读取配置空间
3. setpci -s $BDF $04.w=$data|7 写command寄存器，data为command寄存器初始值，即使能IO、使能Mem、使能Bus Master，然后hexdump config读取，查看写入是否成功
4. 恢复command寄存器初始值</t>
  </si>
  <si>
    <t>DMA command寄存器 I/O标志位不能置1</t>
  </si>
  <si>
    <t>PCIe_SYS_CFG_004</t>
  </si>
  <si>
    <t>支持主机读写SW 管理EP配置空间</t>
  </si>
  <si>
    <t>1. lspci -vvs查看管理EP具体信息，在这个过程中已经涉及配置空间读写，如果能够正常list出设备，说明没有问题
2. cd /sys/bus/pci/devices/$bdf；hexdump config 读取配置空间
3. setpci -s $BDF $04.w=$data|7 写command寄存器，data为command寄存器初始值，即使能IO、使能Mem、使能Bus Master，然后hexdump config读取，查看写入是否成功
4. 恢复command寄存器初始值</t>
  </si>
  <si>
    <t>MEP command寄存器 I/O标志位不能置1</t>
  </si>
  <si>
    <t>PCIe_SYS_CFG_005</t>
  </si>
  <si>
    <t>支持转发配置空间读写请求TLP</t>
  </si>
  <si>
    <t>1. lspci -vvs查看EP具体信息，在这个过程中已经涉及配置空间读写，如果能够正常list出设备，说明没有问题
2. cd /sys/bus/pci/devices/$bdf；hexdump config 读取配置空间
3. setpci -s $BDF $04.w=$data|7 写command寄存器，data为command寄存器初始值，即使能IO、使能Mem、使能Bus Master，然后hexdump config读取，查看写入是否成功
4. 恢复command寄存器初始值</t>
  </si>
  <si>
    <t>T4显卡，command寄存器使能IO、使能Mem、使能Bus Master成功</t>
  </si>
  <si>
    <t>PCIe_SYS_CPL_001</t>
  </si>
  <si>
    <t>带数据完成包</t>
  </si>
  <si>
    <t>1. 系统上电后，lspci确认EP设备存在，查看设备Mem BAR空间地址
2. devmem ADDR w 从EP BAR空间读取一个字的数据
3. 分析仪抓包，查看是否有带数据完成包</t>
  </si>
  <si>
    <t>PCIe_SYS_CPL_002</t>
  </si>
  <si>
    <t>不带数据完成包</t>
  </si>
  <si>
    <t>1. 系统上电后，lspci确认EP设备存在
2. setpci -s $BDF $04.w=$data|7 写command寄存器，data为command寄存器初始值，即使能IO、使能Mem、使能Bus Master
3. 分析仪抓包，查看是否有不带数据完成包</t>
  </si>
  <si>
    <t>PCIe_SYS_IO_001</t>
  </si>
  <si>
    <t>测试IO address range 分配功能是否正常</t>
  </si>
  <si>
    <t>支持IO mem的设备：
NVIDIA Corporation GK208B [GeForce GT 710]、
Marvell Technology Group Ltd. 88SE9230 PCIe SATA 6Gb/s Controller
x520</t>
  </si>
  <si>
    <t>1. 环境就绪后，lspci查看各端口状态正常，查看USP/DSP/EP的 IO BAR空间地址分配、地址空间范围是否正常，最小区段为4K，最大IO space到64KB</t>
  </si>
  <si>
    <t>IO地址空间范围正常</t>
  </si>
  <si>
    <t>PCIe_SYS_IO_002</t>
  </si>
  <si>
    <t>测试IO address 读写功能是否正常</t>
  </si>
  <si>
    <t>支持IO mem的设备：
NVIDIA Corporation GK208B [GeForce GT 710]、
Marvell Technology Group Ltd. 88SE9230 PCIe SATA 6Gb/s Controller/rtl8111
x520</t>
  </si>
  <si>
    <t>1. 环境就绪后，lspci查看各端口状态正常，查看USP/DSP/EP的 IO BAR空间地址分配正常，确认EP的IO mem地址ADDR 
2. devmem ADDR 取出数据，然后修改devmem ADDR h DATA 对IO BAR空间写入数据
3. devmem ADDR h 读取刚刚写入的数据，判断是否与写入数据一致
4. 再更换其他的地址写入/读取重复实验
5. 更换其他端口重复实验</t>
  </si>
  <si>
    <t>数据读写一致</t>
  </si>
  <si>
    <t>PCIe_SYS_IO_003</t>
  </si>
  <si>
    <t>测试IO address range disabled功能是否正常</t>
  </si>
  <si>
    <t>1. 环境就绪后，lspci查看各端口状态正常，查看USP/DSP/EP的 IO BAR空间地址分配正常
2. 对DSP/USP分别逐级修改 setpci -s xx:xx.x 1c.w=00c1 (Base 寄存器配置成比 Limit 寄存器更高的地址)
2. lspci -vvv查看DSP/USP的IO address range 是否为disabled状态
(只能修改桥设备的)</t>
  </si>
  <si>
    <t>IO address range 为disabled状态
I/O behind bridge: [disabled]</t>
  </si>
  <si>
    <t>PCIe_SYS_IO_004</t>
  </si>
  <si>
    <t>IO寄存器读写操作（直接操作IO寄存器）
这是传统的访问方式，通过直接操作IO寄存器来读取或写入数据。这种方式简单直接，但效率较低且容易出错。(优先)</t>
  </si>
  <si>
    <t>ioport工具</t>
  </si>
  <si>
    <t>训练器阻塞</t>
  </si>
  <si>
    <t>PCIe_SYS_IO_005</t>
  </si>
  <si>
    <t>内存映射（MMIO）读写操作
这种方式将I/O地址空间映射到系统内存中，从而可以像访问普通内存一样进行读写操作。这不仅提高了效率，还简化了编程复杂度</t>
  </si>
  <si>
    <t>PCIe_SYS_MSG_001</t>
  </si>
  <si>
    <t>测试验证SW能够产生Error Signaling类型的message</t>
  </si>
  <si>
    <t>分析仪</t>
  </si>
  <si>
    <t>1. USP接HOST，DSP接PCIe设备，如NVMe盘，在USP和HOST之间接入PCIe分析仪
2. EP构造mlf TLP，触SW AER发送err msg
3. 分析仪抓包查看是否有错误消息报文</t>
  </si>
  <si>
    <t>分析仪能抓到错误消息报文
code：0011 xxxx</t>
  </si>
  <si>
    <t>PCIe_SYS_MSG_002</t>
  </si>
  <si>
    <t>测试验证SW能够正常转发Error Signaling类型的message</t>
  </si>
  <si>
    <t>训练器</t>
  </si>
  <si>
    <t>1. USP接HOST，DSP接训练器，在USP和HOST之间接入PCIe分析仪
2. 使用训练器模拟EP，构造Error Signaling报文，包括Corrected  Error、Uncorrectable  Error(这两类错误的构造参考AER)
3. 分析仪抓包查看是否有错误消息报文</t>
  </si>
  <si>
    <t>PCIe_SYS_MSG_003</t>
  </si>
  <si>
    <t>测试验证SW能够产生电源管理类型的message（Power Management）</t>
  </si>
  <si>
    <t>分析仪、热插拔</t>
  </si>
  <si>
    <t>1. USP接HOST，在USP和HOST之间接入PCIe分析仪
2. 通过边带信号对SW下电、上电
3. 分析仪抓包查看是否有电源管理消息报文</t>
  </si>
  <si>
    <t>分析仪能抓到电源管理消息报文
code：0001 xxxx</t>
  </si>
  <si>
    <t>不支持</t>
  </si>
  <si>
    <t>PCIe_SYS_MSG_004</t>
  </si>
  <si>
    <t>测试验证SW能够正常转发电源管理类型的message（Power Management）</t>
  </si>
  <si>
    <t>分析仪 
支持热插拔后验证</t>
  </si>
  <si>
    <t>1. USP接HOST，DSP接PCIe设备，如NVMe盘，在USP和HOST之间接入PCIe分析仪
2. 进行NVMe盘的标准热插拔，先按键通知再拔出
3. 分析仪抓包查看是否有电源管理消息报文</t>
  </si>
  <si>
    <t>PCIe_SYS_MSG_005</t>
  </si>
  <si>
    <t>测试验证SW能够正常转发VDM类型的message</t>
  </si>
  <si>
    <t>分析仪、训练器</t>
  </si>
  <si>
    <t>1. USP接HOST，DSP接训练器，USP与SW之间接入分析仪
2. 通过训练器模拟EP，构造VDM类型TLP
3. 分析仪抓包查看是否有VDM消息报文
（PCI-SIG-Defined VDMs：LN Messages、Device Readiness Status (DRS) Message、Function Readiness Status Message等）</t>
  </si>
  <si>
    <t>分析仪能抓到VDM消息报文
code：0111 xxxx</t>
  </si>
  <si>
    <t>PCIe_SYS_MSG_006</t>
  </si>
  <si>
    <t>测试验证SW能够正常转发Locked Transaction Support类型的message</t>
  </si>
  <si>
    <t>1. USP接HOST，DSP接训练器，USP与SW之间接入分析仪
2. 通过训练器模拟EP，构造Locked Transaction Support类型TLP
3. 分析仪抓包查看是否有Locked Transaction Support消息报文</t>
  </si>
  <si>
    <t>分析仪能抓到对应message code的message
code：0000 xxxx</t>
  </si>
  <si>
    <t>PCIe_SYS_MSG_007</t>
  </si>
  <si>
    <t>测试验证SW能够转发INTx Interrupt Signaling类型的message</t>
  </si>
  <si>
    <t>支持INTx的设备：
Samsung Electronics Co Ltd NVMe SSD Controller SM981/PM981/PM983
分析仪</t>
  </si>
  <si>
    <t>1. USP接HOST，DSP接nvme，在USP和HOST之间接入PCIe分析仪
2. 触发nvme上报INTx中断
3. 分析仪抓包是否产生Assert_INTx和Dessert_INTx消息报文
4. 4个INTx需覆盖完全</t>
  </si>
  <si>
    <t>分析仪抓包抓到Assert_INTx和Dessert_INTx消息报文
code：0010 xxxx</t>
  </si>
  <si>
    <t>PCIe_SYS_MSG_008</t>
  </si>
  <si>
    <t>测试验证SW能够转发Slot Power Limit Support类型的message</t>
  </si>
  <si>
    <t>1. USP接HOST，DSP接训练器，USP与SW之间接入分析仪
2. 通过训练器模拟EP，构造Slot Power Limit Support类型TLP
3. 分析仪抓包查看是否有Slot Power Limit Support消息报文</t>
  </si>
  <si>
    <t>分析仪能抓到对应message code的message
code：0101 0000</t>
  </si>
  <si>
    <t>这些报文不转发才正确</t>
  </si>
  <si>
    <t>PCIe_SYS_MSG_009</t>
  </si>
  <si>
    <t>测试验证SW能够转发Ignored Messages类型的message</t>
  </si>
  <si>
    <t>1. USP接HOST，DSP接训练器，USP与SW之间接入分析仪
2. 通过训练器模拟EP，构造Ignored Messages类型TLP
3. 分析仪抓包查看是否有Ignored Messages消息报文</t>
  </si>
  <si>
    <t>分析仪能抓到对应message code的message
code：0100 xxxx</t>
  </si>
  <si>
    <t>PCIe_SYS_MSG_010</t>
  </si>
  <si>
    <t>测试验证SW能够转发Latency Tolerance Reporting (LTR)类型的message</t>
  </si>
  <si>
    <t>1. USP接HOST，DSP接训练器，USP与SW之间接入分析仪
2. 通过训练器模拟EP，构造Latency Tolerance Reporting 类型TLP
3. 分析仪抓包查看是否有Latency Tolerance Reporting 消息报文</t>
  </si>
  <si>
    <t>分析仪能抓到对应message code的message
code：0001 0000</t>
  </si>
  <si>
    <t>PCIe_SYS_MSG_011</t>
  </si>
  <si>
    <t>测试验证SW能够转发Optimized Buffer Flush/Fill (OBFF)类型的message</t>
  </si>
  <si>
    <t>1. USP接HOST，DSP接训练器，USP与SW之间接入分析仪
2. 通过训练器模拟RC，构造Optimized Buffer Flush/Fill类型TLP
3. 分析仪抓包查看是否有Optimized Buffer Flush/Fill 消息报文</t>
  </si>
  <si>
    <t>分析仪能抓到对应message code的message
code：0001 0010</t>
  </si>
  <si>
    <t>PCIe_SYS_MSG_012</t>
  </si>
  <si>
    <t>测试验证SW能够转发Precision Time Measurement (PTM)类型的message</t>
  </si>
  <si>
    <t>1. USP接HOST，DSP接训练器，USP与SW之间接入分析仪
2. 通过训练器模拟EP，构造Precision Time Measurement (PTM)类型TLP
3. 分析仪抓包查看是否有Precision Time Measurement (PTM)消息报文</t>
  </si>
  <si>
    <t>分析仪能抓到对应message code的message
code：0101 xxxx</t>
  </si>
  <si>
    <t>PCIe_SYS_INT_001</t>
  </si>
  <si>
    <t>测试验证PCIe swtich INTx中断功能是否正常，验证SW是否能正常转发下游设备的INTx中断</t>
  </si>
  <si>
    <t xml:space="preserve">支持INTx的设备：
Samsung Electronics Co Ltd NVMe SSD Controller SM981/PM981/PM983
</t>
  </si>
  <si>
    <t>描述: 支持INTx中断功能的PCIe设备共有INTA、INTB、INTC、INTD四个中断信号，每个中断信号与CPU的一个中断号对应，需要验证SW能够正常转发所有DSP端口下EP的INTx中断。
1. 在SW DSP下方接nvme，系统上电启动
2. 修改启动参数
  vi /etc/default/grub
  GRUB_CMDLINE_LINUX_DEFAULT="quiet splash pci=nomsi"
  update-grub
  reboot
2. cat /proc/interrupts | grep nvme查看对应中断号及数量，可能有多个q的
3. dd if=/dev/nvme0n1 of=/dev/null bs=1M count=1，lsblk确认设备
4. cat /proc/interrupts  | grep nvme查看nvme对应中断号及数量是否增加
fio大压力读写盘(中断变化明显)，可以使用irqtop工具，实时查看中断计数情况</t>
  </si>
  <si>
    <t>对应中断计数增加</t>
  </si>
  <si>
    <t>服务器 配置nomsi，进不去系统
打印raid卡irq错误（盘做了raid，raid卡中断出问题，进不去系统）
主机尝试修改nomsi，也会进不去系统（去掉其他EP就可以，其他EP有的不支持INTx中断，会影响）</t>
  </si>
  <si>
    <t>PCIe_SYS_INT_002</t>
  </si>
  <si>
    <t>测试验证PCIe swtich MSI中断功能是否正常，验证SW是否能正常转发下游设备的MSI中断</t>
  </si>
  <si>
    <t xml:space="preserve">支持MSI的设备:
Marvell Technology Group Ltd. 88SE9230 PCIe SATA 6Gb/s Controller（9630阵列卡）
sata控制器转接sata盘
</t>
  </si>
  <si>
    <t>描述：MSI机制只允许每个PCI Function最多拥有32个中断向量，需要验证SW能够正常转发所有DSP端口下EP的MSI中断。
1. 在SW DSP下方接sata控制器转接sata盘，系统上电启动
2. cat /proc/interrupts | grep ahci[0000:b4:00.0]查看sata对应中断号及数量，可能有多个q的
3. dd if=/dev/sdb1 of=/dev/null bs=1M count=1，lsblk确认设备
4. cat /proc/interrupts | grep ahci[0000:b4:00.0]查看对应中断号及数量是否增加</t>
  </si>
  <si>
    <t>需要9230接sata盘，stat盘目前在主机上使用中</t>
  </si>
  <si>
    <t>PCIe_SYS_INT_003</t>
  </si>
  <si>
    <t>测试验证PCIe swtich MSI-X中断功能是否正常，验证SW是否能正常转发下游设备的MSI-X中断</t>
  </si>
  <si>
    <t xml:space="preserve">支持MSI-X的设备：
Samsung Electronics Co Ltd NVMe SSD Controller SM981/PM981/PM983
</t>
  </si>
  <si>
    <t xml:space="preserve">描述：MSI-X机制允许每个PCI Function最多拥有2048个中断向量，需要验证SW能够正常转发所有DSP端口下EP的MSI-X中断。
1. 在SW DSP下方接nvme，系统上电启动
2. cat /proc/interrupts查看nvme对应中断号及数量，可能有多个q的
3. dd if=/dev/nvme1n1 of=/dev/null bs=1M count=1，lsblk确认设备
4. cat /proc/interrupts查看nvme对应中断号及数量是否增加
</t>
  </si>
  <si>
    <t>PCIe_SYS_INT_004</t>
  </si>
  <si>
    <t>测试验证SW能够产生MSI中断</t>
  </si>
  <si>
    <t xml:space="preserve">
DSP DPC触发中断</t>
  </si>
  <si>
    <t>1. USP接HOST，DSP接训练器，USP与SW之间接入分析仪
2. 通过训练器模拟EP，向上发送一笔reqID异常的request TLP，触发SW DSP的DPC，查看SW是否上报MSI给host
3. cat /proc/interrupts查看对应中断数量是否增加</t>
  </si>
  <si>
    <t>PCIe_SYS_INT_005</t>
  </si>
  <si>
    <t>测试验证SW能够产生MSI-X中断</t>
  </si>
  <si>
    <t>SW AER上报功能OK
FW配置AER上报使用MSI-X</t>
  </si>
  <si>
    <t>1. USP接HOST，DSP接训练器，USP与SW之间接入分析仪
2. 通过训练器模拟EP，向上发送一笔reqID异常的request TLP，触发SW DSP的AER，查看SW是否上报MSI-X给host
3. cat /proc/interrupts查看对应中断数量是否增加</t>
  </si>
  <si>
    <t>PCIe_SYS_INT_006</t>
  </si>
  <si>
    <t>测试验证SW 产生INTx中断</t>
  </si>
  <si>
    <t>MSI的32个中断、MSI-X的2048个中断、INTx的4个中断遍历
使用训练器模拟EP，产生对应中断验证</t>
  </si>
  <si>
    <t>通过DPC功能验证时遇到以下问题：
1. host配置pci=nomsi, switch关闭MEP_nvme功能;
2. sw的dsp配置DPC能够根据错误报文触发中断；
3.模拟EP发送non-fatal报文，在Switch的local cpu的log中会报intx中断，但是host没有收到，模拟EP挂掉
与李超确认此功能不支持</t>
  </si>
  <si>
    <t>PCIe_SYS_ATOMIC_001</t>
  </si>
  <si>
    <t>查看USP &amp; DSP 端口Atomics 支持情况</t>
  </si>
  <si>
    <t>RC Atomics 支持
查看DevCap2 &amp; DevCtl2：
lspci -vvv -s 17:00.0
                DevCap2:   ... ... 
                         AtomicOpsCap: Routing- 32bit+ 64bit+ 128bitCAS+
                DevCtl2: ... ...
                         AtomicOpsCtl: ReqEn- EgressBlck-</t>
  </si>
  <si>
    <t>查看DevCap2 &amp; DevCtl2：
lspci -vvv -s 19:10.0
lspci -vvv -s 19:17.0 
                DevCap2:   ... ... 
                         AtomicOpsCap: Routing+
                DevCtl2: ... ...
                         AtomicOpsCtl: EgressBlck+</t>
  </si>
  <si>
    <t>m</t>
  </si>
  <si>
    <t>PCIe_SYS_ATOMIC_002</t>
  </si>
  <si>
    <t>EP-to-RC FetchAdd 包请求</t>
  </si>
  <si>
    <t>训练器
DSP: Routing+
RC: 32bit+ 64bit+ 有一/两个
根据支持情况发对应的包</t>
  </si>
  <si>
    <t>PCIe_SYS_ATOMIC_003</t>
  </si>
  <si>
    <t>EP-to-RC Swap包请求</t>
  </si>
  <si>
    <t>训练器
Routing+
RC: 32bit+ 64bit+ 有一/两个
根据支持情况发对应的包</t>
  </si>
  <si>
    <t>用 PCIe exerciser 模拟EP, 构造 SwapSwap 包并发到RC, 地址空间为DDR空间
比较发包前后 数据内容
地址用物理地址？从何而来？</t>
  </si>
  <si>
    <t>PCIe_SYS_ATOMIC_004</t>
  </si>
  <si>
    <t>EP-to-RC CAS 包请求</t>
  </si>
  <si>
    <t>训练器
DSP: Routing+
RC: 32bit+ 64bit+ 128bitCAS+
有一/两/三个
根据支持情况发对应的包</t>
  </si>
  <si>
    <t>用 PCIe exerciser 模拟EP, 构造 CAS 包并发到RC, 地址空间为DDR空间
比较发包前后 数据内容
地址用物理地址？从何而来？</t>
  </si>
  <si>
    <t>PCIe_SYS_ATOMIC_005</t>
  </si>
  <si>
    <t>RC-to-EP FetchAdd 包请求</t>
  </si>
  <si>
    <t>用 PCIe exerciser 模拟RC, 构造 FetchAdd 包并发到某个EP, 地址空间为EP空间
比较发包前后 数据内容
地址用物理地址？从何而来？</t>
  </si>
  <si>
    <t>32bit的测试通过，但是训练器模拟RC， EP的bar空间都是32bit的， 所以无法构造64bit的操作</t>
  </si>
  <si>
    <t>PCIe_SYS_ATOMIC_006</t>
  </si>
  <si>
    <t>RC-to-EP Swap包请求</t>
  </si>
  <si>
    <t>用 PCIe exerciser 模拟RC, 构造 SWAP 包并发到某个EP, 地址空间为EP空间
比较发包前后 数据内容
地址用物理地址？从何而来？</t>
  </si>
  <si>
    <t>PCIe_SYS_ATOMIC_007</t>
  </si>
  <si>
    <t>RC-to-EP CAS 包请求</t>
  </si>
  <si>
    <t>训练器
Routing+
RC: 32bit+ 64bit+ 128bitCAS+
有一/两/三个
根据支持情况发对应的包</t>
  </si>
  <si>
    <t>用 PCIe exerciser 模拟RC, 构造 CAS 包并发到某个EP, 地址空间为EP空间
比较发包前后 数据内容
地址用物理地址？从何而来？</t>
  </si>
  <si>
    <t>PCIe_SYS_ATOMIC_008</t>
  </si>
  <si>
    <t>EP-to-EP FetchAdd 包请求</t>
  </si>
  <si>
    <t>训练器
Routing+</t>
  </si>
  <si>
    <t>用 PCIe exerciser 模拟EP, 构造 FetchAdd 包并发到另外一个EP, 地址空间为后者EP的
比较发包前后 数据内容
地址用物理地址？从何而来？</t>
  </si>
  <si>
    <t>分析仪都能抓到对应的包， 包发多了， 会出现crossbar 问题， 其他测试已报相同问题，所以没再提交jira</t>
  </si>
  <si>
    <t>PCIe_SYS_ATOMIC_009</t>
  </si>
  <si>
    <t>EP-to-EP Swap包请求</t>
  </si>
  <si>
    <t>用 PCIe exerciser 模拟EP, 构造 SwapSwap 包并发到另外一个EP, 地址空间为后者EP的
比较发包前后 数据内容
地址用物理地址？从何而来？</t>
  </si>
  <si>
    <t>PCIe_SYS_ATOMIC_010</t>
  </si>
  <si>
    <t>EP-to-EP CAS 包请求</t>
  </si>
  <si>
    <t>PCIe_SYS_SLOT_001</t>
  </si>
  <si>
    <t>测试验证slot使能、禁用功能</t>
  </si>
  <si>
    <t>成都PALLADIUM host BIOS 对应配置， 而且switch 前后都接着speedbridge，无法实现此功能</t>
  </si>
  <si>
    <t>1. 系统上电，lspci查看对应端口slot状态，默认开启，且slot下方接入的设备能够正常枚举（参考case1）
2. 重启计算机，在BIOS界面禁用slot，启动后lspci slotctrl 显示disable，且slot下方设备被移除
3. 逐个端口重复实验</t>
  </si>
  <si>
    <t>slot使能、禁用功能正常</t>
  </si>
  <si>
    <t>PCIe_SYS_SLOT_002</t>
  </si>
  <si>
    <t>查看 DSP端口的 Slot Capability &amp; Control</t>
  </si>
  <si>
    <t>PCIe_SYS_SLOT_003</t>
  </si>
  <si>
    <t>修改 DSP 端口的 Slot Control 是否能修改
值的对应反应是否符合预期， 由后面的case 来覆盖</t>
  </si>
  <si>
    <t>使能所有Enable（低6bits）
setpci -s 19:10.0 88.l=000013ff
setpci -s 19:10.0 88.l 返回 000013ff
setpci -s 19:10.0 88.l=000013f1
setpci -s 19:10.0 88.l 返回 000013f1
setpci -s 19:17.0 88.l=000013ff
setpci -s 19:17.0 88.l 返回 000013ff
setpci -s 19:17.0 88.l=000013f1
setpci -s 19:17.0 88.l 返回 000013f1
88 = 70 + 18</t>
  </si>
  <si>
    <t>PCIe_SYS_SLOT_004</t>
  </si>
  <si>
    <t xml:space="preserve">修改 DSP 端口的 Slot Control 的
Attention Indicator Control </t>
  </si>
  <si>
    <t>热插拔背板 &amp; NVME</t>
  </si>
  <si>
    <t>SlotCap能力只开放了HotPlug+，其余为-
是因为其他的+会影响HotPlug的一些中断，其他的能力信号还没调好，暂时阻塞</t>
  </si>
  <si>
    <t>PCIe_SYS_SLOT_005</t>
  </si>
  <si>
    <t>修改 DSP 端口的 Slot Control 的
Power Indicator Control -</t>
  </si>
  <si>
    <t>PCIe_SYS_SLOT_006</t>
  </si>
  <si>
    <t>修改 DSP 端口的 Slot Control 的
Attention Button Pressed Enable &amp; Status</t>
  </si>
  <si>
    <t>PCIe_SYS_SLOT_007</t>
  </si>
  <si>
    <t>修改 DSP 端口的 Slot Control 的
Power Fault Detected Enable &amp; Status</t>
  </si>
  <si>
    <t xml:space="preserve"> NVME</t>
  </si>
  <si>
    <t>PCIe_SYS_SLOT_008</t>
  </si>
  <si>
    <t>修改 DSP 端口的 Slot Control 的
MRL Sensor Changed Enable &amp; Status</t>
  </si>
  <si>
    <t>热插拔背板 &amp; 支持MRL &amp; NVME</t>
  </si>
  <si>
    <t>PCIe_SYS_SLOT_009</t>
  </si>
  <si>
    <t>修改 DSP 端口的 Slot Control 的
Presence Detect Changed Enable &amp; Status</t>
  </si>
  <si>
    <t>热插拔背板 &amp;NVME</t>
  </si>
  <si>
    <t>PCIe_SYS_SLOT_010</t>
  </si>
  <si>
    <t>修改 DSP 端口的 Slot Control 的
Command Completed Interrupt Enable &amp; Status</t>
  </si>
  <si>
    <t>NVME</t>
  </si>
  <si>
    <t>PCIe_SYS_SLOT_011</t>
  </si>
  <si>
    <t>修改 DSP 端口的 Slot Control 的
Hot-Plug Interrupt Enable</t>
  </si>
  <si>
    <t>热插拔暂时没调好，阻塞</t>
  </si>
  <si>
    <t>PCIe_SYS_SLOT_012</t>
  </si>
  <si>
    <t>修改 DSP 端口的 Slot Control 的
PowerControl</t>
  </si>
  <si>
    <t>PCIe_SYS_SLOT_013</t>
  </si>
  <si>
    <t>获取 DSP 端口的 Slot Control 的
Electromechanical Interlock Status &amp; Data Link Layer State Changed</t>
  </si>
  <si>
    <t>palladium &amp; 10.40 这些bit 都是0？？
当NoCompl-时，热插拔盘，可以看到此位置1
LinkState当链路状态发生变化时为1</t>
  </si>
  <si>
    <t>PCIe_SYS_MPS_001</t>
  </si>
  <si>
    <t>不同MPS测试，启动项设置为 PCIE_BUS_TUNE_OFF ，SW能否正常工作</t>
  </si>
  <si>
    <t>分析仪 &amp; NVME</t>
  </si>
  <si>
    <t>1. MPS使用BIOS配置好的默认值
2. 分析仪抓包查看是否出现畸形包，如出现畸形包分析原因</t>
  </si>
  <si>
    <t>PCIe_SYS_MPS_002</t>
  </si>
  <si>
    <t>不同MPS测试，启动项设置为 PCIE_BUS_SAFE ，SW能否正常工作</t>
  </si>
  <si>
    <t>1. USP接HOST，DSP接NVMe盘
2. 修改启动项参数，在grub配置文件中增加 pci=pcie_bus_safe 启动项，然后执行sudo update-grub
3. 系统下电后重新上电，待枚举完成后lspci -vvv查看链路设备MPS
4. NVMe读盘、写盘，分别测试HOST-&gt;EP、EP-&gt;HOST方向的读写，同时使用协议分析仪抓包
没有训练器情况下测试方法：
4.  dd 随机数到本地文件， dd 本地文件到 nvme， dd从nvme再读回来成另外一个文件， 比较两个文件的MD5, 如果正确， 说明没有畸形包？需要重复多种不同数据长度</t>
  </si>
  <si>
    <t>1. MPS使用BIOS配置好的默认值
2. 分析仪抓包查看是否出现畸形包，pcie_bus_safe绝对安全，不应该出现畸形包</t>
  </si>
  <si>
    <t>与主机有关，msi fail,dell pass,h3c服务器pss</t>
  </si>
  <si>
    <t>PCIe_SYS_MPS_003</t>
  </si>
  <si>
    <t>不同MPS测试，启动项设置为 PCIE_BUS_PERFORMANCE ，SW能否正常工作</t>
  </si>
  <si>
    <t>PCIe_SYS_MPS_004</t>
  </si>
  <si>
    <t>不同MPS测试，启动项设置为 PCIE_BUS_PEER2PEER ，SW能否正常工作</t>
  </si>
  <si>
    <t>1. MPS使用BIOS配置好的默认值
2. 分析仪抓包查看是否出现畸形包，pcie_bus_peer2peer绝对安全，不应该出现畸形包</t>
  </si>
  <si>
    <t>PCIe_SYS_MPS_005</t>
  </si>
  <si>
    <t>手动修改MPS参数，查看是否出现畸形包</t>
  </si>
  <si>
    <t>训练器&amp;分析仪</t>
  </si>
  <si>
    <t>1. Device Control中MPS的大小不能超过Device Capability中MPS，且实际传输的TLP data payload大小应该等于Device Control中设置的MPS参数
2. 分析仪抓包查看是否出现畸形包，出现畸形包时通过AER上报</t>
  </si>
  <si>
    <t>PCIe_SYS_MPS_006</t>
  </si>
  <si>
    <t>设备侧由于MRRS参数限制拆包情况下，SW转发是否正常</t>
  </si>
  <si>
    <t>读数据长度大于MRRS时，读请求会被拆分为多个读TLP，TLP中length字段不能大于MRRS
读请求长度小于MRRS时，读请求中length字段等于实际读取数据长度</t>
  </si>
  <si>
    <t>PCIe_SYS_MPS_007</t>
  </si>
  <si>
    <t>设备侧由于RCB参数限制拆包情况下，SW转发是否正常</t>
  </si>
  <si>
    <t>读数据范围没有跨越RCB边界，使用一个读请求完成包
读数据范围跨越RCB边界，使用多个读请求完成包，且读完成包结束地址为RCB整数倍</t>
  </si>
  <si>
    <t>PCIe_SYS_ATTR_001</t>
  </si>
  <si>
    <t>snoop测试</t>
  </si>
  <si>
    <t>1. setpci配置SW下设备的devctl寄存器Enable No Snoop位为0
2. 设备发起MemRd/MemWr操作(读写盘或者Ping包)
3. 查看设备是否工作正常</t>
  </si>
  <si>
    <t>PCIe_SYS_ATTR_002</t>
  </si>
  <si>
    <t>no snoop测试</t>
  </si>
  <si>
    <t>1. setpci配置设备的devctl寄存器Enable No Snoop位为1
2. 设备发起MemRd/MemWr操作(读写盘或者Ping包)
3. 查看设备是否工作正常</t>
  </si>
  <si>
    <t>PCIe_SYS_ATTR_003</t>
  </si>
  <si>
    <t>AT属性测试</t>
  </si>
  <si>
    <t>1. 找支持ATC的设备，或者使用Exerciser模拟EP，向主机发送MemRd包，AT位置1
2. 协议分析仪抓Host侧收到的包
3. 预期SW能正常转发带AT属性的包</t>
  </si>
  <si>
    <t>PCIe_SYS_ATTR_004</t>
  </si>
  <si>
    <t>TH</t>
  </si>
  <si>
    <t>1. 使用Exerciser模拟EP，向主机发送MemRd包，带TPH prefix, TH位置1
2. 协议分析仪抓Host侧收到的包
3. 预期SW能正常转发带TH bit的包</t>
  </si>
  <si>
    <t>PCIe_SYS_ATTR_005</t>
  </si>
  <si>
    <t>TD</t>
  </si>
  <si>
    <t>1. 使用Exerciser模拟EP，向主机发送MemRd包，带1个DW ECRC, TD(TLP Digest)位置1
2. 协议分析仪抓Host侧收到的包
3. 预期SW能正常转发带TD bit的包</t>
  </si>
  <si>
    <t>PCIe_SYS_ATTR_006</t>
  </si>
  <si>
    <t>EP</t>
  </si>
  <si>
    <t>1. 使用Exerciser模拟EP，向主机发送MemWr包，EP位置1，破坏Playload数据
2. 协议分析仪抓Host侧收到的包
3. 预期SW即使做CRC校验也要转发带EP bit的包</t>
  </si>
  <si>
    <t>PCIe_SYS_ATTR_007</t>
  </si>
  <si>
    <t>Relaxed Ordering</t>
  </si>
  <si>
    <t>1. setpci配置设备的devctl寄存器Enable Relaxed Ordering位为1
2. 主机往设备并发发送MemRd请求和Posted请求，同时运行dd读写盘测试；或者压力跑MemRd；确保使用相同的TC通道
3. 查看访问是否正常，有条件协议分析仪查看TLP的序是否符合预期
4. 过switch之后，attr2:0是否前后一致。</t>
  </si>
  <si>
    <t>PCIe_SYS_ATTR_008</t>
  </si>
  <si>
    <t>ID-Base Ordering序</t>
  </si>
  <si>
    <t>1. setpci配置设备的devctl2寄存器IDO Completion Enable bit
2. 主机往SW下不同设备依次发送MemRd请求或者Posted请求，压力跑；确保使用相同的TC通道
3. 查看访问是否正常</t>
  </si>
  <si>
    <t>PCIe_SYS_ATTR_009</t>
  </si>
  <si>
    <t>1. setpci配置设备的devctl2寄存器IDO Request Enable bit
2. 主机往SW下不同设备依次发送MemRd请求或者Posted请求，压力跑；确保使用相同的TC通道
3. 查看访问是否正常，有条件协议分析仪查看TLP的序是否符合预期</t>
  </si>
  <si>
    <t>PCIe_SYS_ATTR_010</t>
  </si>
  <si>
    <t>Relaxed Ordering+ID-Base Ordering</t>
  </si>
  <si>
    <t>1. setpci配置设备的devctl寄存器Enable Relaxed Ordering位为1
2. setpci配置设备的devctl2寄存器IDO Completion Enable bit
3. 主机往设备发送MemRd请求和Posted请求；同时运行读写盘测试,，压力跑；确保使用相同的TC通道；同时往不同设备发送MemRd请求
4. 查看访问是否正常，有条件协议分析仪查看TLP的序是否符合预期</t>
  </si>
  <si>
    <t>PCIe_SYS_TAG_001</t>
  </si>
  <si>
    <t>Ext tag和10bit ext tag支持</t>
  </si>
  <si>
    <t>1. setpci配置设备的devctl寄存器Extended Tag Field Enable位为1
2. setpci配置设备的devctl2寄存器10-Bit Tag Requester Enable bit位为1
3. 主机大压力往设备发送MemRd请求包
4. 查看访问是否正常
5. Disable RP的Extended Tag Field, 收发包正常</t>
  </si>
  <si>
    <t>PCIe_SYS_ARI_001</t>
  </si>
  <si>
    <t>ARI forwarding测试</t>
  </si>
  <si>
    <t>1. setpci查看DSP的devcap2 ARI Forwarding Supported是否1
2. setpci配置SW DSP的devctl2寄存器ARI Forwarding Enable为1
3. 连接支持ARI的多function设备
4. 测试枚举是否正常</t>
  </si>
  <si>
    <t>PCIe_SYS_LOCKED_001</t>
  </si>
  <si>
    <t>锁定存储器读请求（MRdLK）</t>
  </si>
  <si>
    <t>云渡SW 不支持，直接返回 UR</t>
  </si>
  <si>
    <t>PCIe_SYS_LOCKED_002</t>
  </si>
  <si>
    <t>锁定存储器读请求对应的不带数据的完成（CplLK）</t>
  </si>
  <si>
    <t>PCIe_SYS_LOCKED_003</t>
  </si>
  <si>
    <t>锁定存储器读请求对应的带数据的完成（CpldLK）</t>
  </si>
  <si>
    <t>PCIe_SYS_ERR_001</t>
  </si>
  <si>
    <t>baseline error reporting status bits Device Status/Control Register：查看Device Status/Control 支持的错误检测功能
◦ Correctable Error Detected
◦ Non-Fatal Error Detected
◦ Fatal Error Detected
◦ Unsupported Request Detected</t>
  </si>
  <si>
    <t>1. Error Signal Messages：查看Root Control 寄存器使能的错误类型
System Error on Correctable Error Enable
System Error on Non-Fatal Error Enable
System Error on Fatal Error Enable
2. RC Event Collector EP Association Extended Capability</t>
  </si>
  <si>
    <t>PCIe_SYS_ERR_002</t>
  </si>
  <si>
    <t>baseline error reporting status bits  Status Register：查看Error Status寄存器
◦ Master Data Parity Error
◦ Signaled Target Abort
◦ Received Target Abort
◦ Received Master Abort
◦ Signaled System Error
◦ Detected Parity Error</t>
  </si>
  <si>
    <t>PCIe_SYS_ERR_003</t>
  </si>
  <si>
    <t>baseline error reporting status bits Error Command：查看Command寄存器错误
◦ SERR# Enable
◦ Parity Error Response</t>
  </si>
  <si>
    <t>PCIe_SYS_AER_001</t>
  </si>
  <si>
    <t>查看Switch支持AER capability</t>
  </si>
  <si>
    <t xml:space="preserve">yundu_phase4_20231108_db1
</t>
  </si>
  <si>
    <t>PCIe_SYS_AER_002</t>
  </si>
  <si>
    <t>测试步骤：
1. switch USP连接host，DSP连接训练器，在switch和host之间连接分析仪
2. Uncorrectable Error Mask Register全置位0
3. 使用训练器构造异常TLP，或使用AER注错工具aer-inject构造异常
4. lspci查看AER寄存器对应状态bit是否置位
5.  lspci 查看 云渡Switch连接RP 的 ErrorSrc
ErrorSrc: ERR_COR: 0000 ERR_FATAL/NONFATAL: 0000</t>
  </si>
  <si>
    <t>测试结果：
lspci查看AER寄存器对应状态bit置位</t>
  </si>
  <si>
    <t>建议删除</t>
  </si>
  <si>
    <t>PCIe_SYS_AER_003</t>
  </si>
  <si>
    <t>USP UE：Data Link Protocol Error 验证</t>
  </si>
  <si>
    <t>训练器RC</t>
  </si>
  <si>
    <t>测试步骤：
PCI_SIG 52-170
PCI_SIG 52-160</t>
  </si>
  <si>
    <t>测试结果：
sig测试通过</t>
  </si>
  <si>
    <t xml:space="preserve">
</t>
  </si>
  <si>
    <t>PCIe_SYS_AER_004</t>
  </si>
  <si>
    <t>DSP UE：Data Link Protocol Error 验证</t>
  </si>
  <si>
    <t>训练器/不易构造</t>
  </si>
  <si>
    <t>测试步骤：
1. switch USP连接host，DSP连接训练器，在switch和host之间连接分析仪
2. Uncorrectable Error Mask Register全置位0
3. 使用训练器触发修改DLLP包某些字段构造异常包，或使用AER注错工具aer-inject构造异常
4. lspci查看AER寄存器对应状态bit是否置位
5.  lspci 查看 云渡Switch连接RP 的 ErrorSrc
ErrorSrc: ERR_COR: 0000 ERR_FATAL/NONFATAL: 0000</t>
  </si>
  <si>
    <t>PCIe_SYS_AER_005</t>
  </si>
  <si>
    <t>DSP UE：Surprise Down Error 验证</t>
  </si>
  <si>
    <t>测试步骤：
1. switch USP连接host，DSP连接设备，在switch和host之间连接分析仪
2. Uncorrectable Error Mask Register全置位0
3. 拔掉、下电、link disabled设备，触发Surprise Down Error
4. lspci查看AER寄存器对应状态bit是否置位，分析仪抓包是否有err_msg
5.  lspci 查看 云渡Switch连接RP 的 ErrorSrc
ErrorSrc: ERR_COR: 0000 ERR_FATAL/NONFATAL: 0000</t>
  </si>
  <si>
    <t>PCIe_SYS_AER_006</t>
  </si>
  <si>
    <t>USP UE：Poisoned TLP Received 验证</t>
  </si>
  <si>
    <t>测试步骤：
1. switch USP连接host，DSP连接训练器，在switch和host之间连接分析仪
2. Uncorrectable Error Mask Register全置位0
3. 使用训练器触发Configuration Write Request、I/O Write
Request, Memory Write Request, or non-vendor-defined Message with data或者AtomicOp Request，需构造Poisoned data，或使用AER注错工具aer-inject构造异常
4. lspci查看AER寄存器对应状态bit是否置位
5.  lspci 查看 云渡Switch连接RP 的 ErrorSrc
ErrorSrc: ERR_COR: 0000 ERR_FATAL/NONFATAL: 0000</t>
  </si>
  <si>
    <t>PCIe_SYS_AER_007</t>
  </si>
  <si>
    <t>DSP UE：Poisoned TLP Received 验证</t>
  </si>
  <si>
    <t>测试步骤：
1. switch USP连接host，DSP连接训练器，在switch和host之间连接分析仪
2. Uncorrectable Error Mask Register全置位0
3. 使用训练器触发Configuration Write Request、I/O Write
Request, Memory Write Request, or non-vendor-defined Message with data或者AtomicOp Request，需构造Poisoned data
4. lspci查看AER寄存器对应状态bit是否置位
5.  lspci 查看 云渡Switch连接RP 的 ErrorSrc
ErrorSrc: ERR_COR: 0000 ERR_FATAL/NONFATAL: 0000</t>
  </si>
  <si>
    <t>PCIe_SYS_AER_008</t>
  </si>
  <si>
    <t>USP UE：Flow Control Protocol Error验证</t>
  </si>
  <si>
    <t>测试步骤：
PCI_SIG skip</t>
  </si>
  <si>
    <t>没找到测试方法，建议删除</t>
  </si>
  <si>
    <t>PCIe_SYS_AER_009</t>
  </si>
  <si>
    <t>DSP UE：Flow Control Protocol Error验证</t>
  </si>
  <si>
    <t>测试步骤：
1. switch USP连接host，DSP连接训练器，在switch和host之间连接分析仪
2. Uncorrectable Error Mask Register全置位0
3. 使用训练器触发UpdateFC DLLPs包，构造将the credit value fields置位的场景，会触发Flow
Control Protocol Error (FCPE)
4. lspci查看AER寄存器对应状态bit是否置位
5.  lspci 查看 云渡Switch连接RP 的 ErrorSrc
ErrorSrc: ERR_COR: 0000 ERR_FATAL/NONFATAL: 0000</t>
  </si>
  <si>
    <t>，没找到测试方法建议删除</t>
  </si>
  <si>
    <t>PCIe_SYS_AER_010</t>
  </si>
  <si>
    <t>USP/DSP UE：Completion Timeout Error验证</t>
  </si>
  <si>
    <t>测试步骤：
1. switch USP连接host，DSP连接训练器，在switch和host之间连接分析仪
2. Uncorrectable Error Mask Register全置位0
3. host发起对训练器的读请求，设置训练器不回复cpl，来触发timeout
4. lspci查看AER寄存器对应状态bit是否置位
5.  lspci 查看 云渡Switch连接RP 的 ErrorSrc
ErrorSrc: ERR_COR: 0000 ERR_FATAL/NONFATAL: 0000</t>
  </si>
  <si>
    <t>PCIe_SYS_AER_011</t>
  </si>
  <si>
    <t>USP/DSP UE：Completer Abort Error 验证</t>
  </si>
  <si>
    <t>测试步骤：
1. switch USP连接host，DSP连接两个nvme设备，在switch和host之间连接分析仪
2. Uncorrectable Error Mask Register全置位0
3. SW连接的两个设备发起P2P交互，setpci禁用SW的P2P功能，触发CA状态
4. lspci查看AER寄存器对应状态bit是否置位
5.  lspci 查看 云渡Switch连接RP 的 ErrorSrc
ErrorSrc: ERR_COR: 0000 ERR_FATAL/NONFATAL: 0000</t>
  </si>
  <si>
    <t>无法构造。建议先删除</t>
  </si>
  <si>
    <t>PCIe_SYS_AER_012</t>
  </si>
  <si>
    <t>USP/DSP UE：Unexpected Completion Error 验证</t>
  </si>
  <si>
    <t>测试步骤：
1. switch USP连接host，DSP连接两个nvme设备，在switch和host之间连接分析仪
2. Uncorrectable Error Mask Register全置位0
3. 在host没有发起读请求时，使用训练器触发一条给host的cpl来构造异常
4. lspci查看AER寄存器对应状态bit是否置位
5.  lspci 查看 云渡Switch连接RP 的 ErrorSrc
ErrorSrc: ERR_COR: 0000 ERR_FATAL/NONFATAL: 0000</t>
  </si>
  <si>
    <t>PCIe_SYS_AER_013</t>
  </si>
  <si>
    <t>USP/DSP UE：Receiver Overflow验证</t>
  </si>
  <si>
    <t>测试步骤：
1. switch USP连接host，DSP连接两个nvme设备，在switch和host之间连接分析仪
2. Uncorrectable Error Mask Register全置位0
3. 当SW接收到的TLPs 超过CREDITS_ALLOCATED时会触发，使用训练器压力发包测试，或者修改SW的CREDITS_ALLOCATED为较小值使场景易现
4. lspci查看AER寄存器对应状态bit是否置位
5.  lspci 查看 云渡Switch连接RP 的 ErrorSrc
ErrorSrc: ERR_COR: 0000 ERR_FATAL/NONFATAL: 0000</t>
  </si>
  <si>
    <t>PCIe_SYS_AER_014</t>
  </si>
  <si>
    <t>USP UE：Malformed TLP  验证</t>
  </si>
  <si>
    <t>测试步骤：
1. switch USP连接host，DSP连接两个nvme设备，在switch和host之间连接分析仪
2. Uncorrectable Error Mask Register全置位0
3. 使用训练器构造TLP畸形包，如将VC字段disabled等
4. lspci查看AER寄存器对应状态bit是否置位
5.  lspci 查看 云渡Switch连接RP 的 ErrorSrc
ErrorSrc: ERR_COR: 0000 ERR_FATAL/NONFATAL: 0000</t>
  </si>
  <si>
    <t>PCIe_SYS_AER_015</t>
  </si>
  <si>
    <t>DSP UE：Malformed TLP  验证</t>
  </si>
  <si>
    <t>PCIe_SYS_AER_016</t>
  </si>
  <si>
    <t>USP UE：ECRC Error验证</t>
  </si>
  <si>
    <t>测试步骤：
1. switch USP连接host，DSP连接两个nvme设备，在switch和host之间连接分析仪
2. Uncorrectable Error Mask Register全置位0
3. host发起读请求，使用训练器收到包后，修改TLP某个字节走个bit触发
4. lspci查看AER寄存器对应状态bit是否置位
5.  lspci 查看 云渡Switch连接RP 的 ErrorSrc
ErrorSrc: ERR_COR: 0000 ERR_FATAL/NONFATAL: 0000</t>
  </si>
  <si>
    <t>PCIe_SYS_AER_017</t>
  </si>
  <si>
    <t>DSP UE：ECRC Error验证</t>
  </si>
  <si>
    <t>PCIe_SYS_AER_018</t>
  </si>
  <si>
    <t>USP UE：Unsupported Request Error验证</t>
  </si>
  <si>
    <t>测试步骤：
1. switch USP连接host，DSP连接两个nvme设备，在switch和host之间连接分析仪
2. Uncorrectable Error Mask Register全置位0
3. 通过修改DSP/USP busmaster-或者修改EP mem-构造UR
4. lspci查看AER寄存器对应状态bit是否置位
5.  lspci 查看 云渡Switch连接RP 的 ErrorSrc
ErrorSrc: ERR_COR: 0000 ERR_FATAL/NONFATAL: 0000</t>
  </si>
  <si>
    <t>PCIe_SYS_AER_019</t>
  </si>
  <si>
    <t>DSP UE：Unsupported Request Error验证</t>
  </si>
  <si>
    <t>PCIe_SYS_AER_020</t>
  </si>
  <si>
    <t>DSP UE：ACS Violation验证</t>
  </si>
  <si>
    <t>参考SW DSP的 ACS I/O Request Blocking 功能验证构造</t>
  </si>
  <si>
    <t>PCIe_SYS_AER_021</t>
  </si>
  <si>
    <t>USP/DSP UE：Uncorrectable Internal Error 验证</t>
  </si>
  <si>
    <t>测试步骤：
1. switch USP连接host，DSP连接训练器
2. Uncorrectable Error Mask Register全置位0
3. 使用训练器构造并发出一笔畸形TLP，sw AER需记录，并丢弃
4. lspci查看AER寄存器对应状态bit是否置位
5.  lspci 查看 云渡Switch连接RP 的 ErrorSrc
ErrorSrc: ERR_COR: 0000 ERR_FATAL/NONFATAL: 0000</t>
  </si>
  <si>
    <t>云渡不支持内部错误AER上报建议删除</t>
  </si>
  <si>
    <t>PCIe_SYS_AER_022</t>
  </si>
  <si>
    <t>DSP UE：MC Blocked TLP Mask 验证</t>
  </si>
  <si>
    <t>测试步骤：
1. switch USP连接host，DSP连接训练器
2. Uncorrectable Error Mask Register全置位0
3. 使能SW的MC Blocked TLP Mask功能
3. 使用训练器构造并发出一笔MC Blocked TLP Maskt，sw AER会log MC Blocked TLP Mask
4. lspci查看AER寄存器对应状态bit是否置位
5.  lspci 查看 云渡Switch连接RP 的 ErrorSrc
ErrorSrc: ERR_COR: 0000 ERR_FATAL/NONFATAL: 0000</t>
  </si>
  <si>
    <t>PCIe_SYS_AER_023</t>
  </si>
  <si>
    <t>DSP UE：atomicop egress blocked 验证</t>
  </si>
  <si>
    <t>PCIe_SYS_AER_024</t>
  </si>
  <si>
    <t>DSP UE：TLP Prefix Blocked Error Mask 验证</t>
  </si>
  <si>
    <t>测试步骤：
1. switch USP连接host，DSP连接训练器
2. Uncorrectable Error Mask Register全置位0
3. 使能SW的TLP Prefix Blocked Error Mask功能
3. 使用训练器构造并发出一笔TLP Prefix Blocked Error Mask，sw AER会log TLP Prefix Blocked Error Mask
4. lspci查看AER寄存器对应状态bit是否置位
5.  lspci 查看 云渡Switch连接RP 的 ErrorSrc
ErrorSrc: ERR_COR: 0000 ERR_FATAL/NONFATAL: 0000</t>
  </si>
  <si>
    <t>PCIe_SYS_AER_025</t>
  </si>
  <si>
    <t>DSP UE：Poisoned TLP Egress Blocked  验证</t>
  </si>
  <si>
    <t>测试步骤：
1. switch USP连接host，DSP连接训练器
2. Uncorrectable Error Mask Register全置位0
3. 使能SW的Poisoned TLP Egress Blocking功能
3. 使用训练器构造并发出一笔Poisoned TLP，sw AER会Poisoned TLP Egress Blocked 
4. lspci查看AER寄存器对应状态bit是否置位
5.  lspci 查看 云渡Switch连接RP 的 ErrorSrc
ErrorSrc: ERR_COR: 0000 ERR_FATAL/NONFATAL: 0000</t>
  </si>
  <si>
    <t>PCIe_SYS_AER_026</t>
  </si>
  <si>
    <t>Uncorrectable Error Mask验证</t>
  </si>
  <si>
    <t>测试步骤：
基于case_Uncorrectable Error logging
1. switch USP连接host，DSP连接nvme
2. 将Uncorrectable Error Mask Register全部置位1
3. 通过修改DSP/USP busmaster-或者修改EP mem-构造UR
4. lspci查看AER寄存器对应状态bit是否置位
5.  lspci 查看 云渡Switch连接RP 的 ErrorSrc
ErrorSrc: ERR_COR: 0000 ERR_FATAL/NONFATAL: 0000</t>
  </si>
  <si>
    <t xml:space="preserve">
测试结果：
lspci查看AER寄存器对应状态bit不会置位</t>
  </si>
  <si>
    <t>PCIe_SYS_AER_027</t>
  </si>
  <si>
    <t>Uncorrectable Error Severity report type验证</t>
  </si>
  <si>
    <t>测试步骤：
基于case_Uncorrectable Error logging
1. switch USP连接host，DSP连接nvme
2. Uncorrectable Error Mask Register全置位0
3. 使用训练器构造异常TLP，lspci查看AER寄存器对应状态bit置位
4. 分析仪抓到 non-fatal error message， lspci查看host的RP，AER的Root Error Status 寄存器Non-Fatal Error Messages Received=1
5. Uncorrectable Error Mask Register全置位1
6. 通过修改DSP/USP busmaster- 读写nvme盘触发UR，lspci查看AER寄存器对应状态bit置位
7. 分析仪抓到 fatal error message， lspci查看host的RP，AER的Root Error Status 寄存器Fatal Error Messages Received=1
8.  lspci 查看 云渡Switch连接RP 的 ErrorSrc
ErrorSrc: ERR_COR: 0000 ERR_FATAL/NONFATAL: 0000</t>
  </si>
  <si>
    <t>测试结果：
1. 当Uncorrectable Error Severity对应bit=0，上报non-fatal error
2. 当Uncorrectable Error Severity对应bit=1，上报fatal error</t>
  </si>
  <si>
    <t>PCIe_SYS_AER_028</t>
  </si>
  <si>
    <t>USP/DSP CE：
Receiver Error 验证</t>
  </si>
  <si>
    <t>测试步骤：
1. switch USP连接host，DSP连接训练器，在switch和host之间连接分析仪
2. correctable Error Mask Register全置位0
3. 使用训练器构造the Physical Layer包symbol异常的包，触发Receiver Error
4. lspci查看AER寄存器对应状态bit是否置位
5.  lspci 查看 云渡Switch连接RP 的 ErrorSrc
ErrorSrc: ERR_COR: 0000 ERR_FATAL/NONFATAL: 0000</t>
  </si>
  <si>
    <t xml:space="preserve">
测试结果：
lspci查看AER寄存器对应状态bit置位</t>
  </si>
  <si>
    <t>没找到测试方法建议删除</t>
  </si>
  <si>
    <t>PCIe_SYS_AER_029</t>
  </si>
  <si>
    <t>USP CE：
Bad TLP验证</t>
  </si>
  <si>
    <t>测试步骤：
1. switch USP连接host，DSP连接训练器，在switch和host之间连接分析仪
2. correctable Error Mask Register全置位0
3. 使用训练器修改收到的TLP的LCRC value，check不过时上报Bad TLP error
4. lspci查看AER寄存器对应状态bit是否置位
5.  lspci 查看 云渡Switch连接RP 的 ErrorSrc
ErrorSrc: ERR_COR: 0000 ERR_FATAL/NONFATAL: 0000</t>
  </si>
  <si>
    <t>PCIe_SYS_AER_030</t>
  </si>
  <si>
    <t>DSP CE：
Bad TLP验证</t>
  </si>
  <si>
    <t>PCIe_SYS_AER_031</t>
  </si>
  <si>
    <t>USP CE：
Bad DLLP验证</t>
  </si>
  <si>
    <t>测试步骤：
PCI_SIG 52-160 ？</t>
  </si>
  <si>
    <t>PCIe_SYS_AER_032</t>
  </si>
  <si>
    <t>DSP CE：
Bad DLLP验证</t>
  </si>
  <si>
    <t>测试步骤：
1. switch USP连接host，DSP连接训练器，在switch和host之间连接分析仪
2. correctable Error Mask Register全置位0
3. 使用训练器修改收到的DLLP的CRC value，check不过时上报Bad DLLP error
4. lspci查看AER寄存器对应状态bit是否置位
5.  lspci 查看 云渡Switch连接RP 的 ErrorSrc
ErrorSrc: ERR_COR: 0000 ERR_FATAL/NONFATAL: 0000</t>
  </si>
  <si>
    <t>PCIe_SYS_AER_033</t>
  </si>
  <si>
    <t>USP CE：
REPLAY_NUM Rollover 验证</t>
  </si>
  <si>
    <t xml:space="preserve">测试步骤：
PCI_SIG :52-20 </t>
  </si>
  <si>
    <t>PCIe_SYS_AER_034</t>
  </si>
  <si>
    <t>DSP CE：
REPLAY_NUM Rollover 验证</t>
  </si>
  <si>
    <t>测试步骤：
1. switch USP连接host，DSP连接训练器，在switch和host之间连接分析仪
2. correctable Error Mask Register全置位0
3. host发出一笔读请求，在并未收到来自接收端的应答信号（Ack/Nak）时，会触发REPLAY_TIMER计数，训练器收到对应REQ TLP后，不回复ack即可，时间长计数会发生溢出或翻转
4. lspci查看AER寄存器对应状态bit是否置位
5.  lspci 查看 云渡Switch连接RP 的 ErrorSrc
ErrorSrc: ERR_COR: 0000 ERR_FATAL/NONFATAL: 0000</t>
  </si>
  <si>
    <t>PCIe_SYS_AER_035</t>
  </si>
  <si>
    <t>USP CE：
Replay Timer Timeout 验证</t>
  </si>
  <si>
    <t>测试步骤：
PCI_SIG: 52-11</t>
  </si>
  <si>
    <t>PCIe_SYS_AER_036</t>
  </si>
  <si>
    <t>DSP CE：
Replay Timer Timeout 验证</t>
  </si>
  <si>
    <t>测试步骤：
1. switch USP连接host，DSP连接训练器，在switch和host之间连接分析仪
2. correctable Error Mask Register全置位0
3. host发出一笔读请求，在并未收到来自接收端的应答信号（Ack/Nak）时，会触发REPLAY_TIMER计数，训练器收到对应REQ TLP后，不回复ack即可
4. lspci查看AER寄存器对应状态bit是否置位
5.  lspci 查看 云渡Switch连接RP 的 ErrorSrc
ErrorSrc: ERR_COR: 0000 ERR_FATAL/NONFATAL: 0000</t>
  </si>
  <si>
    <t>PCIe_SYS_AER_037</t>
  </si>
  <si>
    <t>USP CE：
Advisory Non-Fatal Error验证</t>
  </si>
  <si>
    <t>测试步骤：
基于case_Correctable Error logging
1. switch USP连接host，DSP连接nvme
2. 修改DSP/USP的busmaster-可构造
3.lspci 查看 云渡Switch连接RP 的 ErrorSrc
ErrorSrc: ERR_COR: 0000 ERR_FATAL/NONFATAL: 0000
AdvNonFatalErr+</t>
  </si>
  <si>
    <t>PCIe_SYS_AER_038</t>
  </si>
  <si>
    <t>DSP CE：
Advisory Non-Fatal Error验证</t>
  </si>
  <si>
    <t>PCIe_SYS_AER_039</t>
  </si>
  <si>
    <t>USP/DSP CE：
Corrected Internal Error验证</t>
  </si>
  <si>
    <t>测试步骤：
1. switch USP连接host，DSP连接训练器，在switch和host之间连接分析仪
2. correctable Error Mask Register全置位0
3. 使用训练器构造一笔TLP，修改其某些bit，触发SW 发生ECC，此时会记录 Corrected Internal Error
4.  lspci 查看 云渡Switch连接RP 的 ErrorSrc
ErrorSrc: ERR_COR: 0000 ERR_FATAL/NONFATAL: 0000</t>
  </si>
  <si>
    <t>PCIe_SYS_AER_040</t>
  </si>
  <si>
    <t>USP CE：
Header Log Overflow验证</t>
  </si>
  <si>
    <t>测试步骤：
1. switch USP连接host，DSP连接训练器，在switch和host之间连接分析仪
2. correctable Error Mask Register全置位0
3. 设置Multiple Header Recording Enable bit=0,使用训练器修改the First Error Pointer 为有效值，此时会触发Header Log Overflow
4. lspci 查看 云渡Switch连接RP 的 ErrorSrc
ErrorSrc: ERR_COR: 0000 ERR_FATAL/NONFATAL: 0000</t>
  </si>
  <si>
    <t>PCIe_SYS_AER_041</t>
  </si>
  <si>
    <t>DSP CE：
Header Log Overflow验证</t>
  </si>
  <si>
    <t>PCIe_SYS_AER_042</t>
  </si>
  <si>
    <t>Correctable Error Mask验证</t>
  </si>
  <si>
    <t>测试步骤：
基于case_Correctable Error logging
1. switch USP连接host，DSP连接nvme
2. 修改nvme mem-时触发了aer上报，该过程中引入了问题，触发USP的AER，上报AdvNonFatalErr+，同时record   ERR_COR
2. 正常修改DSP/USP的busmaster-可构造
3.lspci 查看 云渡Switch连接RP 的 ErrorSrc
ErrorSrc: ERR_COR: 0000 ERR_FATAL/NONFATAL: 0000</t>
  </si>
  <si>
    <t>测试结果：
lspci查看AER寄存器对应状态bit不会置位</t>
  </si>
  <si>
    <t>PCIe_SYS_AER_043</t>
  </si>
  <si>
    <t>Header Log</t>
  </si>
  <si>
    <t>测试步骤：
1. 当触发一次Uncorrectable Error/ Correctable Error，在Header Log Register 中记录对应TLP header信息</t>
  </si>
  <si>
    <t>测试结果：
1. 分析仪抓包对应异常和header log记录一致</t>
  </si>
  <si>
    <t>PCIe_SYS_AER_044</t>
  </si>
  <si>
    <t>Advanced Error Capabilities and Control</t>
  </si>
  <si>
    <t>测试步骤：
1. 当ECRC Generation Capable =1时，setpci ECRC Generation Enable=1，使能ECRC Generation功能，分析仪抓包确认
2. 当ECRC Check Capable=1时，setpci ECRC Check Enable=1，使能ECRC Check功能，分析仪抓包确认
3. 当Multiple Header Recording Capable=1时，setpci Multiple Header Recording Enable=1，使能多个Header Log 的记录</t>
  </si>
  <si>
    <t>测试结果：
1. 分析仪抓包匹配</t>
  </si>
  <si>
    <t>PCIe_SYS_AER_045</t>
  </si>
  <si>
    <t>TLP Prefix Log Present</t>
  </si>
  <si>
    <t>测试步骤：
1. switch USP连接host，DSP连接训练器，在switch和host之间连接分析仪
2. 使用训练器发起带有End-End TLP Prefix的TLP包，并构造任意error
3. 查看TLP Prefix Log Register 是否记录带有TLP Prefix的TLP异常时的 End-End TLP Prefix(s)，有四组</t>
  </si>
  <si>
    <t>测试结果：
1. 查看TLP Prefix Log Register 记录预期异常信息</t>
  </si>
  <si>
    <t>PCIe_SYS_AER_046</t>
  </si>
  <si>
    <t>AER ACPI上报</t>
  </si>
  <si>
    <t>ACPI打印“}[Hardware Error]: Hardware error from APEI Generic Hardware Error Source: 1”
pcieport打印“pcieport 0000:19:10.0: AER: device recovery successful”</t>
  </si>
  <si>
    <t>PCIe_SYS_AER_047</t>
  </si>
  <si>
    <t>AER native上报</t>
  </si>
  <si>
    <t>测试步骤：
1.  switch USP连接host，DSP连接nvme盘
2.修改nvme盘mem-，触发dd读盘操作
3.查看dmesg打印信息，是否有“pcieport 0000:b2:00.0: AER: Uncorrected (Non-Fatal) error received: 0000:b5:00.0”等打印</t>
  </si>
  <si>
    <t>dmesgpcieport打印“pcieport 0000:b2:00.0: AER: Uncorrected (Non-Fatal) error received: 0000:b5:00.0”</t>
  </si>
  <si>
    <t>PCIe_SYS_AER_048</t>
  </si>
  <si>
    <t>SW USP产生及上报AER验证</t>
  </si>
  <si>
    <t>测试步骤：
基于case_Uncorrectable Error logging
1. switch USP连接host，DSP连接nvme
3. 通过修改USP busmaster-构造UR
4. lspci查看AER寄存器对应状态bit是否置位
5.  lspci 查看 云渡Switch连接RP 的 ErrorSrc
ErrorSrc: ERR_COR: 0000 ERR_FATAL/NONFATAL: 0000</t>
  </si>
  <si>
    <t>寄存器符合预期</t>
  </si>
  <si>
    <t>PCIe_SYS_AER_049</t>
  </si>
  <si>
    <t>SW DSP产生及上报AER验证</t>
  </si>
  <si>
    <t>测试步骤：
基于case_Uncorrectable Error logging
1. switch USP连接host，DSP连接nvme
3. 通过修改DSP busmaster-构造UR
4. lspci查看AER寄存器对应状态bit是否置位
5.  lspci 查看 云渡Switch连接RP 的 ErrorSrc
ErrorSrc: ERR_COR: 0000 ERR_FATAL/NONFATAL: 0000</t>
  </si>
  <si>
    <t>PCIe_SYS_AER_050</t>
  </si>
  <si>
    <t>SW  AER转发及记录功能验证</t>
  </si>
  <si>
    <t>测试步骤：
基于case_Uncorrectable Error logging
1. switch USP连接host，DSP连接nvme
3. 通过修改EP mem-构造UR
4. lspci查看AER寄存器对应状态bit是否置位
5.  lspci 查看 云渡Switch连接RP 的 ErrorSrc
ErrorSrc: ERR_COR: 0000 ERR_FATAL/NONFATAL: 0000</t>
  </si>
  <si>
    <t>PCIe_SYS_AER_051</t>
  </si>
  <si>
    <t>PCIe_SYS_PM_001</t>
  </si>
  <si>
    <t>支持 PM capability，支持PME</t>
  </si>
  <si>
    <t>lspci查看USP/DSP的配置空间
1. 是否支持D0下生成PME
2. 是否支持D3hot和D3cold下生成PME
3. 是否支持D1/D2 Power状态, 以及D1/D2生成PME</t>
  </si>
  <si>
    <t>PCIe_SYS_PM_002</t>
  </si>
  <si>
    <t>支持设置PME使能、PowerState</t>
  </si>
  <si>
    <t>1. setpci设置DSP和USP的PMCSR寄存器，使能PME bit
2. lspci查看是否生效</t>
  </si>
  <si>
    <t>PCIe_SYS_PM_003</t>
  </si>
  <si>
    <t>Link Power状态 PCI-PM支持L1, L2/L3 Ready, L3</t>
  </si>
  <si>
    <t>1. 进入D3cold状态或者主机发送PME_Turn_Off message
2. 分析仪抓包是否有PM_Enter_L23</t>
  </si>
  <si>
    <t>PCIe_SYS_PM_004</t>
  </si>
  <si>
    <t>Link Power状态 ASPM支持L0s和L1</t>
  </si>
  <si>
    <t>1. lspci查看USP/DSP的LnkCap查看是否支持L0s和L1</t>
  </si>
  <si>
    <t>L0s 有问题， L1有硬件BUG， 所以ASPM 不支持</t>
  </si>
  <si>
    <t>usp\dsp不支持</t>
  </si>
  <si>
    <t>PCIe_SYS_PM_005</t>
  </si>
  <si>
    <t>设备休眠功能：SW能广播转发PME_turn_off消息, 以及回复PME_TO_Ack消息</t>
  </si>
  <si>
    <t>1. 主机软件发起PME_Turn_Off message，分析仪抓包
2.  SW收到后广播转发给SW下的设备，PME_Turn_Off Message TLP
3.  设备回复PME_TO_Ack
4.  设备持续发送PM_Enter_L23，请求让设备进入L2/L3 ready状态
5. SW收到所有DSP的PME_TO_Ack后，发送PME_TO_Ack给RP</t>
  </si>
  <si>
    <t>PCIe_SYS_PM_006</t>
  </si>
  <si>
    <t>设备唤醒功能：Switch能转发PM_PME给RP，请求主机给Device上电</t>
  </si>
  <si>
    <t>依赖设备
或者训练器做EP模拟</t>
  </si>
  <si>
    <t>1. 设备RP RootCtl使能PME中断
2. SW下的设备触发PM_PME（网卡收包）
3 查询Root Port Status寄存器的PME status为1，RequestID正确
4. dmesg或者cat /proc/interrupts确认进入了PME中断
5. 查询设备状态是否恢复正常，lspci是否回到D0</t>
  </si>
  <si>
    <t>PCIe_SYS_PM_007</t>
  </si>
  <si>
    <t>SW PME功能：DSP在D3Hot状态热插拔或者Presence Detect changed时，生成PM_PME Message</t>
  </si>
  <si>
    <t>依赖热插拔
或者训练器做EP模拟</t>
  </si>
  <si>
    <t>1. 让DSP进入D3hot状态
2. 如果支持热插拔，执行hot-add
3. lspci查询PME status为1，分析仪抓包是否存在PM_PME message
4. 查询Root Port Status寄存器的PME status为1，RequestID正确
5. dmesg或者cat /proc/interrupts确认进入了PME中断
6. 查询设备状态是否恢复正常，lspci是否回到D0</t>
  </si>
  <si>
    <t>热插拔， FW 只发中断， 不会产生PME 消息包，硬件也不会产生PME 消息包</t>
  </si>
  <si>
    <t>PCIe_SYS_PM_008</t>
  </si>
  <si>
    <t>SW PME功能:：DSP在D3Hot状态，DLLP状态切换时，产生PM_PME Message</t>
  </si>
  <si>
    <t>同上，PME触发条件改成DLLP状态变化</t>
  </si>
  <si>
    <t>触发DLLP状态切换，不知道如何出发。建议先删除</t>
  </si>
  <si>
    <t>PCIe_SYS_PM_009</t>
  </si>
  <si>
    <t>SW PME功能：PME不使能情况下PME事件</t>
  </si>
  <si>
    <t>同上</t>
  </si>
  <si>
    <t>1. 进入D3hot状态后，不使能PME
2. 触发DLLP状态切换
3. lspci查询PME status为1，分析仪抓包不存在PM_PME message
4. Host不会进入PME中断，无法完成设备上电</t>
  </si>
  <si>
    <t>PCIe_SYS_PM_010</t>
  </si>
  <si>
    <t>SW PM_PME “Backpressure” Deadlock Avoidance，具有超时机制</t>
  </si>
  <si>
    <t>1. 构造出现backpressure场景或者通过不响应中断来模拟
2. 验证超时是否自动清除PME status, 协议分析仪抓包查看是否会重发PME message</t>
  </si>
  <si>
    <t>PCIe_SYS_PM_011</t>
  </si>
  <si>
    <t>EP：ASPM Disable</t>
  </si>
  <si>
    <t>EP/WD盘</t>
  </si>
  <si>
    <t>1. 配置LnkCtl disable ASPM
2. 不存在状态切换
3.正常工作处于L0</t>
  </si>
  <si>
    <t>PCIe_SYS_PM_012</t>
  </si>
  <si>
    <t>EP：ASPM L0s</t>
  </si>
  <si>
    <t>EP 分析仪</t>
  </si>
  <si>
    <t>1. 配置LnkCtl使能ASPM L0s
2. 保持单向一段时间电气空闲，查询LSTTM或者用分析仪辅助抓DLLP包，设备进入RX L0s或者TX L0s状态
3. 电气空闲退出后（比如网卡收到包），退出L0s状态</t>
  </si>
  <si>
    <t>PCIe_SYS_PM_013</t>
  </si>
  <si>
    <t>EP：ASPM L1</t>
  </si>
  <si>
    <t>1. 配置LnkCtl使能ASPM L1, 用分析仪辅助抓 DLLP包
2. 在一段电气空闲时间后，设备发出PM_Active_State_Request_L1
PM_Request_ACK
3. EIEOS后能返回L0状态</t>
  </si>
  <si>
    <t>PCIe_SYS_PM_014</t>
  </si>
  <si>
    <t>EP：ASPM L0s和L1都启用</t>
  </si>
  <si>
    <t>1. 配置LnkCtl使能ASPM L0s和L1,用分析仪辅助抓取DLLP包
2. 在一段电气空闲时间后先进入L0s状态，再空闲一段时间后进入L1状态</t>
  </si>
  <si>
    <t>PCIe_SYS_PM_015</t>
  </si>
  <si>
    <t>PCI-PM, 软件发起CfgWr，切换PowerState到D0</t>
  </si>
  <si>
    <t>1. setpci设置PMCSR寄存器，切换PowerState进入D0状态
2. lspci查看PMCSR寄存器是否进入D0状态</t>
  </si>
  <si>
    <t>PCIe_SYS_PM_016</t>
  </si>
  <si>
    <t>PCI-PM, 软件发起CfgWr，切换PowerState到D1/D2</t>
  </si>
  <si>
    <t>USP/DSP/EP</t>
  </si>
  <si>
    <t>1. setpci设置PMCSR寄存器，切换PowerState进入D1或者D2状态
2. 如果支持D1/D2, lspci查看PM capability status寄存器是否进入D1/D2状态，link状态是否进入L1状态
3. 如果设备不支持D1/D2，状态不发生变化</t>
  </si>
  <si>
    <t>PCIe_SYS_PM_017</t>
  </si>
  <si>
    <t>PCI-PM, 软件发起CfgWr，切换PowerState到D3hot</t>
  </si>
  <si>
    <t>EP或DSP或USP/WD盘</t>
  </si>
  <si>
    <t>1. setpci设置EP的PMCSR寄存器，切换PowerState进入D3hot状态
2. lspci查看PM capability status寄存器是否进入D3hot状态，link状态是否进入L1状态</t>
  </si>
  <si>
    <t>PCIe_SYS_PM_018</t>
  </si>
  <si>
    <t>EP D3Hot状态，RC侧发起Mem或者IO访问，返回UR</t>
  </si>
  <si>
    <t>PCIe_SYS_PM_019</t>
  </si>
  <si>
    <t>UDSP/DSP D3Hot状态，RC侧发起配置读写访问，返回正常</t>
  </si>
  <si>
    <t>DSP</t>
  </si>
  <si>
    <t>1. 设置USP/DSP的PMCSR寄存器，切换PowerState到D3Hot状态
2. setpci或者cat /sys/bus/pci/devices/xx:xx.0/config，读写配置空间正常</t>
  </si>
  <si>
    <t>USP无法写D3hot</t>
  </si>
  <si>
    <t>PCIe_SYS_PM_020</t>
  </si>
  <si>
    <t>USP D3Hot状态，RC侧发起DSP配置读写访问，返回UR</t>
  </si>
  <si>
    <t>USP</t>
  </si>
  <si>
    <t>1. 设置USP的PMCSR寄存器，切换PowerState到D3Hot状态
2. setpci或者cat /sys/bus/pci/devices/xx:xx.0/config，读写DSP配置空间
3. 判断是否返回FF，报UR错误</t>
  </si>
  <si>
    <t>PCIe_SYS_PM_021</t>
  </si>
  <si>
    <t>软件D3Hot切换回D0状态</t>
  </si>
  <si>
    <t>1. 配置设备处于D3hot状态
2. 设置PMCSR寄存器，切换回D0状态，No_Soft_Reset为1时，设备处于D0Active状态; No_Soft_Reset为0时，设备返回D0uninitialized状态，需要重新初始化</t>
  </si>
  <si>
    <t>PCIe_SYS_PM_022</t>
  </si>
  <si>
    <t>Link唤醒Beacon机制，利用带内信号执行wakeup功能</t>
  </si>
  <si>
    <t>是否支持</t>
  </si>
  <si>
    <t>1. 设置SW下Device处于D3cold状态，Link处于L2状态，保证辅助电源存在
2. 设备触发wake#唤醒请求
3. Host端唤醒设备，判断是否能正常唤醒</t>
  </si>
  <si>
    <t>不支持L2
不支持D3cold
没有AusPower</t>
  </si>
  <si>
    <t>PCIe_SYS_PM_023</t>
  </si>
  <si>
    <t>Link唤醒Wake#机制，利用边带信号执行wakeup功能	sideband方式唤醒</t>
  </si>
  <si>
    <t>Link唤醒Wake#机制，利用边带信号执行wakeup功能</t>
  </si>
  <si>
    <t>PCIe_SYS_LINK_001</t>
  </si>
  <si>
    <t>链路中断与恢复测试</t>
  </si>
  <si>
    <t>1. DSP接NVMe盘
2. 读盘和写盘过程中暴力拔盘
3. 重新插盘
4. 查看链路能否重新建立</t>
  </si>
  <si>
    <t>检测到链路中断时，能够上报中断给OS，重新插入设备链路能重新建立</t>
  </si>
  <si>
    <t>PCIe_SYS_LINK_002</t>
  </si>
  <si>
    <t>Link disable</t>
  </si>
  <si>
    <t>1. setpci设置DSP LinkCtrl寄存器 Link Disable bit 为1，用分析仪抓DLLP和PLP
2. lspci 查看DSP下方设备是否存在</t>
  </si>
  <si>
    <t>链路进入Disable状态，DSP下方设备被移除，无法枚举到</t>
  </si>
  <si>
    <t>暂未使用分析器观察</t>
  </si>
  <si>
    <t>PCIe_SYS_LINK_003</t>
  </si>
  <si>
    <t>Link enable</t>
  </si>
  <si>
    <t>1. 接着上一条case操作，setpci设置DSP LinkCtrl寄存器 Link Disable bit 为0，用分析仪抓DLLP和PLP
2. lspci 查看DSP下方设备是否存在
3. HOST写EP BAR测试链路转发TLP包是否正常</t>
  </si>
  <si>
    <t>1. 链路由Disable状态切换到Detect-&gt;Polling-&gt;Configuration-&gt;L0
2. lspci发现DSP下方设备可以正常枚举
3. 链路可以正常发送和接受TLP、DLLP、PLP，HOST可以写EP BAR空间</t>
  </si>
  <si>
    <t>PCIe_SYS_LINK_004</t>
  </si>
  <si>
    <t>Link retrain</t>
  </si>
  <si>
    <t>1. setpci设置DSP LinkCtrl寄存器 Link Retrain bit 为1，用分析仪抓DLLP和PLP
2. lspci 查看DSP下方设备是否存在</t>
  </si>
  <si>
    <t>1. 写1后链路进入Recovery状态
2. 链路重训练后设备枚举正常</t>
  </si>
  <si>
    <t>PCIe_SYS_LINK_005</t>
  </si>
  <si>
    <t>链路目标速率修改测试(修改为32GT/s)</t>
  </si>
  <si>
    <t>1.修改DSP 的 target link speed 输入setpci -s $(BDF) 70+30.b=0x5 2.链路重新训练 设置dsp的retrain setpci -s $(BDF) 70+10.b=0x20 3,lspci -s $(BDF) -vvv 查看</t>
  </si>
  <si>
    <t>PCIe_SYS_LINK_006</t>
  </si>
  <si>
    <t>链路目标速率修改测试(修改为16GT/s)</t>
  </si>
  <si>
    <t>1.修改DSP设备的 target link speed 输入setpci -s $(BDF) 70+30.b=0x4 2.链路重新训练 设置dsp的retrain setpci -s $(BDF) 70+10.b=0x20 3,lspci -s $(BDF) -vvv 查看</t>
  </si>
  <si>
    <t>PCIe_SYS_LINK_007</t>
  </si>
  <si>
    <t>链路目标速率修改测试(修改为8GT/s)</t>
  </si>
  <si>
    <t>1.修改DSP设备的 target link speed 输入setpci -s $(BDF) 70+30.b=0x3 2.链路重新训练 设置dsp的retrain setpci -s $(BDF) 70+10.b=0x20 3,lspci -s $(BDF) -vvv 查看</t>
  </si>
  <si>
    <t>PCIe_SYS_LINK_008</t>
  </si>
  <si>
    <t>链路目标速率修改测试(修改为5GT/s)</t>
  </si>
  <si>
    <t>1.修改DSP设备的 target link speed 输入setpci -s $(BDF) 70+30.b=0x2 2.链路重新训练 设置dsp的retrain setpci -s $(BDF) 70+10.b=0x20 3,lspci -s $(BDF) -vvv 查看</t>
  </si>
  <si>
    <t>PCIe_SYS_LINK_009</t>
  </si>
  <si>
    <t>链路目标速率修改测试(修改为2.5GT/s)</t>
  </si>
  <si>
    <t>1.修改DSP设备的 target link speed 输入setpci -s $(BDF) 70+30.b=0x1 2.链路重新训练 设置dsp的retrain setpci -s $(BDF) 70+10.b=0x20 3,lspci -s $(BDF) -vvv 查看</t>
  </si>
  <si>
    <t>PCIe_SYS_LINK_010</t>
  </si>
  <si>
    <t>Lane reversal</t>
  </si>
  <si>
    <t>PCIe_SYS_LINK_011</t>
  </si>
  <si>
    <t>Polarity inversion</t>
  </si>
  <si>
    <t>PCIe_SYS_LINK_012</t>
  </si>
  <si>
    <t>Error Status：Lane Error Status (LES) Register</t>
  </si>
  <si>
    <t>Lane-based No Error</t>
  </si>
  <si>
    <t>PCIe_SYS_PREFIX_001</t>
  </si>
  <si>
    <t>SW 能否转发带有 TPH 的 TLP</t>
  </si>
  <si>
    <t>用 PCIe exerciser RC构造带有TPH的TLP 看SW是否能成功转发</t>
  </si>
  <si>
    <t>PCIe_SYS_PREFIX_002</t>
  </si>
  <si>
    <t xml:space="preserve">SW 能否转发带有 PASID 的 TLP </t>
  </si>
  <si>
    <t>用 PCIe exerciser RC构造带有PASID TLP Prefix 的TLP 看SW是否能成功转发</t>
  </si>
  <si>
    <t>PCIe_SYS_DPC_001</t>
  </si>
  <si>
    <t>DPC 功能支持</t>
  </si>
  <si>
    <t>测试步骤：
1. lspci查看DPC capability</t>
  </si>
  <si>
    <t>默认状态是什么？
目前关注是否有Cap，暂不关注默认能力状态</t>
  </si>
  <si>
    <t>PCIe_SYS_DPC_002</t>
  </si>
  <si>
    <t>DPC Trigger 功能验证</t>
  </si>
  <si>
    <t>测试步骤：
1. switch USP连接host，DSP连接训练器，在switch和host之间连接分析仪
2. DPC Trigger Enable 默认为00h的时候，训练器分别构造uncorrectable error、ERR_NONFATAL、ERR_FATAL Message三种包，分析仪都能抓到
3. DPC Trigger Enable 默认为01h的时候，训练器分别构造uncorrectable error、ERR_NONFATAL、ERR_FATAL Message三种包，分析仪能抓到ERR_NONFATAL包，另外两种被屏蔽
4. DPC Trigger Enable 默认为10h的时候，训练器分别构造uncorrectable error、ERR_NONFATAL、ERR_FATAL Message三种包，分析仪抓不到，三种都被屏蔽</t>
  </si>
  <si>
    <t xml:space="preserve">
测试结果：
1. 抓包符合预期
2. 训练器构造的三种异常包时，对应状态DPC Trigger Status=1，DPC Trigger Reason=00b/01b/10b
3. DPC Error Source ID字段填充为产生异常包的设备的requester ID
4. 此时DSP port状态机为LTSSM.Disabled状态</t>
  </si>
  <si>
    <t>PCIe_SYS_DPC_003</t>
  </si>
  <si>
    <t>DPC Completion功能验证</t>
  </si>
  <si>
    <t>测试步骤：
1. 在case_DPS Trigger 功能验证的基础上
2. 将DPC Completion Control bit=0，host收到的completion TLP为Completer Abort (CA)  Status 
3. 将DPC Completion Control bit=1，host收到的completion TLP为Unsupported Request (UR) Status</t>
  </si>
  <si>
    <t>测试结果：
1. 根据字段配置，收到对应类型的cpl TLP</t>
  </si>
  <si>
    <t>PCIe_SYS_DPC_004</t>
  </si>
  <si>
    <t>DPC Interrupts</t>
  </si>
  <si>
    <t>测试步骤：
在case_DPS Trigger 功能验证的基础上
1. 将DPC Interrupt Enable bit置位=10h
2. 查看DPC Interrupt Message Number对应中断号（driver完成DPC 中断申请工作）
3. 查看DPC Interrupt Status=1，该字段写1清零
4. 在trigger DPC后查看对应中断计数是否增加</t>
  </si>
  <si>
    <t>测试结果：
1.</t>
  </si>
  <si>
    <t>PCIe_SYS_DPC_002阻塞</t>
  </si>
  <si>
    <t>PCIe_SYS_DPC_005</t>
  </si>
  <si>
    <t>Software Triggering of DPC</t>
  </si>
  <si>
    <t>测试结果：
1. DPC Trigger Reason Extension=01b
2. 中断上报
3. CA/UR上报</t>
  </si>
  <si>
    <t>该cap-
无法测试</t>
  </si>
  <si>
    <t>PCIe_SYS_DPC_006</t>
  </si>
  <si>
    <t>DPC ERR_COR Signaling</t>
  </si>
  <si>
    <t>测试步骤：
1. 将DPC ERR_COR Enable bit=1，Device Control register的Correctable Error Reporting Enable bit=1
2. 当DPC Trigger Status bit从0变成1时，sw port发出ERR_COR Message，使用分析仪查看对应包
3. 且此时Device Status register中的Correctable Error Detected bit 不会置位</t>
  </si>
  <si>
    <t>分析仪抓到确认err_msg发出
且此时Device Status register中的Correctable Error Detected bit 不会置位</t>
  </si>
  <si>
    <t>分析仪抓包确认</t>
  </si>
  <si>
    <t>PCIe_SYS_DPC_007</t>
  </si>
  <si>
    <t>DL_Active ERR_COR Signaling</t>
  </si>
  <si>
    <t>DPC cap register没有使能该特性</t>
  </si>
  <si>
    <t>PCIe_SYS_DPC_008</t>
  </si>
  <si>
    <t>Poisoned TLP Egress Blocking</t>
  </si>
  <si>
    <t>测试步骤：
1. 使用训练器构造Poisoned TLPs，分析仪抓不到对应包
2. 将Poisoned TLP Egress Blocking Supported=1，Poisoned TLP Egress Blocking Enable=1
3. 使用训练器构造Poisoned TLPs，sw port会将其block，分析仪抓不到对应包</t>
  </si>
  <si>
    <t>分析仪抓不到对应包</t>
  </si>
  <si>
    <t>目前不支持该cap
训练器阻塞</t>
  </si>
  <si>
    <t>PCIe_SYS_DPC_009</t>
  </si>
  <si>
    <t>热插拔场景打开DPC测试</t>
  </si>
  <si>
    <t>测试步骤：
1.  switch USP连接host，DSP连接nvme或SSD盘
2. 多次插拔设备
3. 查看DPC对应状态是否记录</t>
  </si>
  <si>
    <t>host工作正常
DCP记录正常</t>
  </si>
  <si>
    <t>hp 结合suprice down aer</t>
  </si>
  <si>
    <t>PCIe_SYS_HP_001</t>
  </si>
  <si>
    <t>NVME标准热拔</t>
  </si>
  <si>
    <t xml:space="preserve">1. 使能AttnBtn+情况下，按下Attention Button按钮，Attention Button Pressed位置1 
2. Power Indicator电源指示灯闪烁，5秒后熄灭，Data Link Layer State Changed位置1 
3. 拔出NVMe盘， MRL Sensor Changed置1，Presence Detect Changed置1，MRL Sensor State为1（open状态），Presence Detect State为0
4. lspci -tv -Dnn设备不存在
5.dmesg查看日志，提示NVME驱动卸载信息
</t>
  </si>
  <si>
    <t>目前不支持电源指示灯</t>
  </si>
  <si>
    <t xml:space="preserve">目前不支持电源指示灯
</t>
  </si>
  <si>
    <t>PCIe_SYS_HP_002</t>
  </si>
  <si>
    <t>NVME标准热拔，5秒内取消</t>
  </si>
  <si>
    <t xml:space="preserve">1. 使能AttnBtn+情况下，按下Attention Button按钮，Attention Button Pressed位置1 
2. Power Indicator电源指示灯闪烁，5秒内再次按下Attention Button按钮，取消操作
3. lspci -tv -Dnn设备存在
4. dmesg查看日志
</t>
  </si>
  <si>
    <t>目前不支持电源指示灯
lspci -tv -Dnn查看设备存在</t>
  </si>
  <si>
    <t>PCIe_SYS_HP_003</t>
  </si>
  <si>
    <t>NVME标准热插</t>
  </si>
  <si>
    <t>1. 使能AttnBtn+情况下，按下Attention Button按钮，Attention Button Pressed位置1 
2. Power Indicator电源指示灯闪烁，5秒后熄灭，Data Link Layer State Changed位置1 
3. 插入NVMe盘， MRL Sensor Changed置1，Presence Detect Changed置1，MRL Sensor State为0（close状态），Presence Detect State为1
4. lspci -tv -Dnn设备存在
5.dmesg查看日志，提示NVME驱动加载信息</t>
  </si>
  <si>
    <t>PCIe_SYS_HP_004</t>
  </si>
  <si>
    <t>休眠状态下，插入NVMe</t>
  </si>
  <si>
    <t xml:space="preserve">1. 系统休眠，PME enable，插入盘，DSP发送PME message
2. RP收到PME message转化为PME中断，唤醒链路
3. 链路进入D0状态，lspci -tv -Dnn设备存在
</t>
  </si>
  <si>
    <t>PCIe_SYS_HP_005</t>
  </si>
  <si>
    <t>休眠状态下，拔出NVMe</t>
  </si>
  <si>
    <t xml:space="preserve">1. 系统休眠，PME enable，拔出盘，DSP发送PME message
2. RP收到PME message转化为PME中断，唤醒链路
3. 链路进入D0状态，lspci -tv -Dnn设备不存在
</t>
  </si>
  <si>
    <t>PCIe_SYS_HP_006</t>
  </si>
  <si>
    <t>NVME暴力热插</t>
  </si>
  <si>
    <t>1.NVME存储盘热插
2.查看/dev/路径下增加设备文件
3.lspci，查看新设备bdf号
3.dmesg查看日志
4.dd读盘，盘可正常使用</t>
  </si>
  <si>
    <t>1.路径/dev/下有相应设备文件；
2.新增设备bdf号，并有NVME设备信息
3.日志提示NVME驱动加载信息</t>
  </si>
  <si>
    <t>YUNDUSIL-103 bug关闭</t>
  </si>
  <si>
    <t>PCIe_SYS_HP_007</t>
  </si>
  <si>
    <t>NVME暴力热拔</t>
  </si>
  <si>
    <t>1.NVME存储盘热拔
2.查看/dev/路径下减少设备文件
3.lspci，查看设备bdf号
3.dmesg查看日志</t>
  </si>
  <si>
    <t>1.路径/dev/下有相应设备文件消失；
2.拔下的设备bdf号消失
3.日志提示NVME驱动卸载信息</t>
  </si>
  <si>
    <t>PCIe_SYS_HP_008</t>
  </si>
  <si>
    <t>插拔稳定性测试</t>
  </si>
  <si>
    <t>1. 连续多次插入和拔出NVMe盘，例如测试插拔100次
2. 查看/dev/路径下增加设备文件
3. lspci，查看新设备bdf号
3. dmesg查看日志</t>
  </si>
  <si>
    <t>多次插拔后，插槽依然能够正常识别设备，并确保连接稳定。</t>
  </si>
  <si>
    <t>需要等待DPC请完状态再插入</t>
  </si>
  <si>
    <t>PCIe_SYS_HP_009</t>
  </si>
  <si>
    <t>快速连续插拔测试（压测）（1秒内插拔）</t>
  </si>
  <si>
    <t>在短时间内连续进行多次插拔操作，模拟用户频繁更换设备的场景。</t>
  </si>
  <si>
    <t>快速插拔后，插槽依然能够正常识别设备，并确保连接稳定。</t>
  </si>
  <si>
    <t>快速插拔6次（拔出到插入时间间隔1秒内，或不等待DPC请完状态就插入），插入后识别不到nvme盘</t>
  </si>
  <si>
    <t>PCIe_SYS_HP_010</t>
  </si>
  <si>
    <t>并发插入测试</t>
  </si>
  <si>
    <t>在多个插槽上同时插入NVMe盘。观察系统是否能够同时管理多个设备的插拔。</t>
  </si>
  <si>
    <t>系统能够检测到所有同时插入的设备</t>
  </si>
  <si>
    <t>PCIe_SYS_HP_011</t>
  </si>
  <si>
    <t>并发拔出测试</t>
  </si>
  <si>
    <t>在多个插槽上接入NVMe盘，然后同时拔出。观察系统是否能够同时管理多个设备的插拔。</t>
  </si>
  <si>
    <t>系统能够移除所有同时拔出的设备</t>
  </si>
  <si>
    <t>PCIe_SYS_HP_012</t>
  </si>
  <si>
    <t>数据传输中插拔测试</t>
  </si>
  <si>
    <t>1. 在NVMe盘进行数据传输期间，将NVMe盘拔出
2. 重新插入NVMe盘
3. 查看/dev/路径下增加设备文件
4. lspci查看设备号
5. 启动数据传输</t>
  </si>
  <si>
    <t>数据传输中拔出设备不影响插槽功能，再次插入设备依然正常工作</t>
  </si>
  <si>
    <t>PCIe_SYS_HP_013</t>
  </si>
  <si>
    <t>同时插入和拔出测试</t>
  </si>
  <si>
    <t>同时操作热插和热拔。观察系统是否能够同时管理插入和拔出操作。</t>
  </si>
  <si>
    <t>系统能够同时管理插入和拔出操作</t>
  </si>
  <si>
    <t>PCIe_SYS_HP_016</t>
  </si>
  <si>
    <t>surprise A hotplug模式热插</t>
  </si>
  <si>
    <t>PCIe_SYS_HP_017</t>
  </si>
  <si>
    <t>surprise A hotplug模式热拔</t>
  </si>
  <si>
    <t>PCIe_SYS_HP_018</t>
  </si>
  <si>
    <t>surprise B hotplug模式热插</t>
  </si>
  <si>
    <t>PCIe_SYS_HP_019</t>
  </si>
  <si>
    <t>surprise B hotplug模式热拔</t>
  </si>
  <si>
    <t>PCIe_SYS_NPEM_001</t>
  </si>
  <si>
    <t>read and parse NPEM Capability</t>
  </si>
  <si>
    <t>1. lspci 确定好 PCIe SSD的 BDF 和 configure 配置空间的NPEM capability。</t>
  </si>
  <si>
    <t>能读到预期的NPEM Capability</t>
  </si>
  <si>
    <t>PCIe_SYS_NPEM_002</t>
  </si>
  <si>
    <t>To Disable NPEM  by modify capability</t>
  </si>
  <si>
    <t>1. lspci 确定好 PCIe SSD的 BDF 和 configure 配置空间的NPEM control regisgter 地址。 
2. setpci  -s SSD_BDF  control_regisgter 和 预期设置的值。
原值| 0x200
3. lspci 查看设置结果</t>
  </si>
  <si>
    <t>对应bit 能设置成功</t>
  </si>
  <si>
    <t>PCIe_SYS_NPEM_003</t>
  </si>
  <si>
    <t>To enable NPEM  by modify capability</t>
  </si>
  <si>
    <t>1. lspci 确定好 PCIe SSD的 BDF 和 configure 配置空间的NPEM control regisgter 地址。 
2. setpci  -s SSD_BDF  control_regisgter 和 预期设置的值。
原值| 0x001
3. lspci 查看设置结果</t>
  </si>
  <si>
    <t>PCIe_SYS_NPEM_004</t>
  </si>
  <si>
    <t>To reset NPEM  by modify capability</t>
  </si>
  <si>
    <t>1. lspci 确定好 PCIe SSD的 BDF 和 configure 配置空间的NPEM control regisgter 地址。 
2. setpci  -s SSD_BDF  control_regisgter 和 预期设置的值。
原值| 0x002
3. lspci 查看设置结果</t>
  </si>
  <si>
    <t>PCIe_SYS_NPEM_005</t>
  </si>
  <si>
    <t>To Verify NPEM LED control by modify capability</t>
  </si>
  <si>
    <t>1. lspci 确定好 SDD的 BDF 和 configure 配置空间的NPEM control regisgter 地址。 
2. setpci  -s SSD_BDF  control_regisgter 和 预期设置的值。
OK:                    原值| 0X004
Locate:               原值| 0x008
Fail:                    原值| 0x010
Rebuild:             原值| 0X020
PFA:                   原值| 0x040
Hot Spare:         原值| 0x080
Critical Array:     原值| 0x040
Failed Array:       原值| 0x080</t>
  </si>
  <si>
    <t>需要手动针对每个值设置一次 ，并验证一次LED 的状态是否符合预期。</t>
  </si>
  <si>
    <t>PCIe_SYS_NPEM_006</t>
  </si>
  <si>
    <t>To Verify NPEM LED control by ledctl</t>
  </si>
  <si>
    <t>使用ledctl样例：
查找单个块设备：
sudo ledctl locate=/dev/sda
若要关闭单个块设备的“查找 LED”：
sudo ledctl locate_off=/dev/sda
查找 MD 软件 RAID 设备的磁盘，并同时为两个块设备设置重构建模式：
sudo ledctl locate=/dev/md127 rebuild={ /sys/block/sd[a-b] }
关闭指定设备的“状态 LED”和“故障 LED”：
sudo ledctl off={ /dev/sda /dev/sdb }
若要找到三个块设备，请运行以下命令之一（两个命令的作用相同）：
sudo ledctl locate=/dev/sda,/dev/sdb,/dev/sdc
sudo ledctl locate={ /dev/sda /dev/sdb /dev/sdc }</t>
  </si>
  <si>
    <t>PCIe_SYS_NPEM_007</t>
  </si>
  <si>
    <t>read and parse NPEM Capability
.
Loop 10000 times</t>
  </si>
  <si>
    <t>PCIe_SYS_NPEM_008</t>
  </si>
  <si>
    <t>To Verify NPEM LED control by modify capability.  
Loop 10000 times</t>
  </si>
  <si>
    <t>1. lspci 确定好 PCIe SSD的 BDF 和 configure 配置空间的NPEM control regisgter 地址。 
2. setpci  -s SSD_BDF  control_regisgter 和 预期设置的值。
OK:                    原值| 0X004
Locate:               原值| 0x008
Fail:                    原值| 0x010
Rebuild:             原值| 0X020
PFA:                   原值| 0x040
Hot Spare:         原值| 0x080
Critical Array:     原值| 0x040
Failed Array:       原值| 0x080</t>
  </si>
  <si>
    <t>循环10000次， 不验证结果， 但是需要保证，后续手动操作结果正常。</t>
  </si>
  <si>
    <t>PCIe_SYS_NPEM_009</t>
  </si>
  <si>
    <t>To Verify NPEM LED control by ledctl。
 Loop 10000 times。</t>
  </si>
  <si>
    <t>使用ledctl
查找单个块设备：
sudo ledctl locate=/dev/nvme0n1
若要关闭单个块设备的“查找 LED”：
sudo ledctl locate_off=/dev/nvme0n1
关闭指定设备的“状态 LED”和“故障 LED”：
sudo ledctl off={ /dev/nvme0n1 /dev/nvme1n1 }
若要找到三个块设备，请运行以下命令之一（两个命令的作用相同）：
sudo ledctl locate= /dev/nvme0n1 /dev/nvme1n1
sudo ledctl locate={  /dev/nvme0n1 /dev/nvme1n1}
循环10000次， 不验证结果， 但是需要保证，后续手动操作能正常。</t>
  </si>
  <si>
    <t>PCIe_SYS_NPEM_010</t>
  </si>
  <si>
    <t>使用PCIe3.0/2.0设备测试NPEM的设备兼容性</t>
  </si>
  <si>
    <t>前置条件：已安装ledmon、ledctl；背板支持NPEM。
1、检查NPEM点灯功能正常。
2、更换Pcie3.0/2.0的设备。
3、ledctl控制机柜点灯方案并查看LED灯显示的工作状态是否正确。
4、重复步骤2/3验证支持的点灯方案。</t>
  </si>
  <si>
    <t>PCIe_SYS_NPEM_011</t>
  </si>
  <si>
    <t>SGPIO</t>
  </si>
  <si>
    <t>1.配置Switch采用SGPIO通信
2.用setpci配置NPEM寄存器
3.查看NPEM的LED灯是否闪烁</t>
  </si>
  <si>
    <t>NPEM的LED灯是否闪烁</t>
  </si>
  <si>
    <t>目前还没打通通路</t>
  </si>
  <si>
    <t>Stage</t>
  </si>
  <si>
    <t>Status-12小时</t>
  </si>
  <si>
    <t>Status-2天</t>
  </si>
  <si>
    <t>Status-4天</t>
  </si>
  <si>
    <t>Status-7天</t>
  </si>
  <si>
    <t>PCIe_SYS_STABLE_001</t>
  </si>
  <si>
    <t>Pressure</t>
  </si>
  <si>
    <t>idle 场景可靠性测试</t>
  </si>
  <si>
    <t>1、稳定的软硬件环境；
2、核心组件上所有端口均处于 linkup 状态</t>
  </si>
  <si>
    <t>1、 idle测试时，keep默认设置，keep在系统下不做任何操作</t>
  </si>
  <si>
    <t>1、所有测试用例预期结果正常，符合预期;
2、测试过程中系统无黑屏、死机等异常问题;
测试完成以后，可以正常关机、重启等</t>
  </si>
  <si>
    <t>硅前硅后</t>
  </si>
  <si>
    <t>PCIe_SYS_STABLE_002</t>
  </si>
  <si>
    <t>reboot 场景可靠性测试</t>
  </si>
  <si>
    <t>1、 稳定的软硬件环境；
2、 核心组件上所有端口均处于 linkup 状态</t>
  </si>
  <si>
    <t>1、系统启动后，使用 lspci | grep –i 205E 命令是否能查看到核心组件，使用 lspci –vvv 命令查看核心组件协商的 PCI 速率是否正确;
2、重启系统，使用 lspci | grep –i eth 命令是否能查看到核心组件，使用 lspci –vvv 命令查看核心组件协商的 PCI 速率是否正确;
3、运行对应case的应用程序，例如：执行reboot脚本等应用程序;
重复步骤 1-3 1000 次</t>
  </si>
  <si>
    <t>1、每次系统重启后 lspci | grep -i 205E 命令是否能查看到核心组件，PCI 速率正确;
2、系统重启后 lspci | grep -i 205E 命令查看到核心组件端口个数前后一致;
测试过程中系统无黑屏、死机等异常问题;</t>
  </si>
  <si>
    <t>PCIe_SYS_STABLE_003</t>
  </si>
  <si>
    <t>DC Power Cycle 场景可靠性测试</t>
  </si>
  <si>
    <t>1、通过lspci检查SW的PCIE侧的带宽速率以及EP link状态以及link speed;
2、BMC下执行下电操作，重启系统后，再次检查SW侧的带宽速率以及EP link状态以及link speed;
重复执行1~2 500次</t>
  </si>
  <si>
    <t>1、每次系统重启后 lspci | grep -i 205E 命令是否能查看到核心组件，PCI 速率正确;
2、系统重启后 lspci | grep -i 205E 命令查看到核心组件端口个数前后一致;
3、BMC可以正确显示SW卡的基本信息;
测试过程中系统无黑屏、死机等异常问题</t>
  </si>
  <si>
    <t>PCIe_SYS_STABLE_004</t>
  </si>
  <si>
    <t>全部SSD场景可靠性测试</t>
  </si>
  <si>
    <t>1、 全闪存阵列测试
2、 对SSD进⾏测试前，请⾃⾏筛选被测SSD，勿操作系统盘</t>
  </si>
  <si>
    <t>1、 运行对应case的应用程序，例如：执行Fio等应用程序</t>
  </si>
  <si>
    <t>Status-12h:只有5个dsp port可以用，接了5块盘，运行12h；
Status-2天：实测2天15h,20盘（S4P2除外）gen3x4,USPs1p1gen5x16(VDDa=0、8v
平台：浪潮NF5268G7
EP:NvmeU、2 12*亿恒gen3+7*WDgen3+1*intel900P
Fw: yundu_asic_base_20241212)
=====================
Status-7days:21盘，运行7天；
平台：H3C-2
EP:NvmeU、2 13*亿恒PBlaze5 gen3+7*WDgen3+1*samsung PM1732
Fw: yundu_asic_base_20241218)</t>
  </si>
  <si>
    <t>PCIe_SYS_STABLE_005</t>
  </si>
  <si>
    <t>全部GPU场景可靠性测试</t>
  </si>
  <si>
    <t>1、 请提前安装驱动，配置测试环境。 GPU等测试项需要提前安装外部驱动，保证环境部署完成，然后使用cuda samples、gpuburn等工具进行测试</t>
  </si>
  <si>
    <t>status-12h：接3个T4运行，12h
status-2天：L20×5</t>
  </si>
  <si>
    <t>PCIe_SYS_STABLE_006</t>
  </si>
  <si>
    <t>混合经典场景压测GPU:NIC:SSD=4:1:1</t>
  </si>
  <si>
    <t>1、 对SSD进⾏测试前，请⾃⾏筛选被测SSD，勿操作系统盘</t>
  </si>
  <si>
    <t>1、 运行对应case的应用程序，例如：执行gpuburn、Fio、netperf等应用程序</t>
  </si>
  <si>
    <t>1、所有测试用例预期结果正常，符合预期;
2、测试过程中系统无黑屏、死机等异常问题;
3、 测试完成以后，可以正常关机</t>
  </si>
  <si>
    <t>PCIe_SYS_STABLE_007</t>
  </si>
  <si>
    <t>网卡直通：nvme over TCP 运行 fio</t>
  </si>
  <si>
    <t>1、 修改/etc/default/grub文件，在GRUB_CMDLINE_LINUX最后追加“intel_iommu=on iommu=pt”参数
2、 网卡直通正常。</t>
  </si>
  <si>
    <t>1、 运行对应case的应用程序，例如：执行Fio等应用程序
2、 git clone /home/sd/kww/yundu_swtest/autotest/opt/st/module/host_debug/testcase/NET_STABILITY/003_3_BASE_VM_NVME_TCP、expect*</t>
  </si>
  <si>
    <t>1、所有测试用例预期结果正常，符合预期;
2、网口可以被关闭和开启，启动 down/up 循环均正常;
3、网口连通性正常，速率协商正确;
dmesg 中没有核心组件异常信息（核心组件初始化，加载，卸载过程中是否异常）dmesg|egrep -i"error|fail|warn|wrong|bug|respond|pending"</t>
  </si>
  <si>
    <t>PCIe_SYS_STABLE_008</t>
  </si>
  <si>
    <t>网卡直通：nvme over RDMA运行 fio</t>
  </si>
  <si>
    <t>1、 运行对应case的应用程序，例如：执行Fio等应用程序
2、 git clone /home/sd/kww/yundu_swtest/autotest/opt/st/module/host_debug/testcase/NET_STABILITY/003_4_BASE_VM_NVME_RDMA、expect</t>
  </si>
  <si>
    <t>PCIe_SYS_STABLE_009</t>
  </si>
  <si>
    <t>GPU+SSD场景可靠性测试</t>
  </si>
  <si>
    <t>1、 运行对应case的应用程序，例如：执行gpuburn、Fio等应用程序</t>
  </si>
  <si>
    <t>2块T4，2块消费级WD盘，其中一块掉盘。</t>
  </si>
  <si>
    <t>status-7天：台式机鼠标键盘、网口无效，压测正常结束，串口输出均正常。</t>
  </si>
  <si>
    <t>PCIe_SYS_STABLE_010</t>
  </si>
  <si>
    <t>GPU+NIC场景可靠性测试</t>
  </si>
  <si>
    <t>1、 运行对应case的应用程序，例如：执行gpuburn、netperf等应用程序</t>
  </si>
  <si>
    <t>PCIe_SYS_STABLE_011</t>
  </si>
  <si>
    <t>SSD+NIC场景可靠性测试</t>
  </si>
  <si>
    <t>1、 运行对应case的应用程序，例如：执行Fio、netperf等应用程序</t>
  </si>
  <si>
    <t>PCIe_SYS_STABLE_012</t>
  </si>
  <si>
    <t>Glmark</t>
  </si>
  <si>
    <t>1、 接显示器正常
2、 电源管理设置关闭显示器、进入待机时间、自动锁屏时间设置成从不，保证显示屏常亮;</t>
  </si>
  <si>
    <t>1．安装测试环境: 终端执行
sudo apt-get install git g++ build-essential pkg-config libx11-dev
libgl1-mesa-dev libjpeg-dev libpng12-dev libgles2-mesa-dev libgbm-dev
2．下载并安装 glmark2、zip
解压 glmark2、zip，进入 glmark 目录执行以下命令：
、/waf configure --with-flavors=x11-gl
、/waf build -j 4
sudo 、/waf install
sudo strip -s /usr/local/bin/glmark2
3．分别测试执行：
正常窗口： 执行 glmark2 | tee 、/glmark2、txt
4．记录 glmark2、txt 的结果</t>
  </si>
  <si>
    <t>1、 所有测试用例预期结果正常，符合预期;
2、 系统正常，lspci -tv枚举正常，nvidia-smi执行正常</t>
  </si>
  <si>
    <t>Status-2天:实测2天,DSP-gen5x16,USPs1p1gen5x16(VDDa=0、8v
平台：MSI-1
EP:S2P1--Gen4x16--4090显卡
Fw: yundu_asic_base_20241212</t>
  </si>
  <si>
    <t>PCIe_SYS_STABLE_013</t>
  </si>
  <si>
    <t>Glxgear</t>
  </si>
  <si>
    <t>1、下载 mesa-utils：终端执行 sudo apt-get install mesa-utils
2、终端运行：export vblank_mode=0 &amp;&amp; glxgears &gt;&gt; glxgears、log
3、运行 10min，查看 glxgears、log 的结果取平均值</t>
  </si>
  <si>
    <t>通过率统计</t>
  </si>
  <si>
    <t>fanout</t>
  </si>
  <si>
    <t>AI场景</t>
  </si>
  <si>
    <t>存储场景</t>
  </si>
  <si>
    <t>网络场景</t>
  </si>
  <si>
    <t>压力测试</t>
  </si>
  <si>
    <t>协议类测试</t>
  </si>
  <si>
    <t>PCISIG</t>
  </si>
  <si>
    <t>PCIECV_USP</t>
  </si>
  <si>
    <t>PCIECV_DSP</t>
  </si>
  <si>
    <t>PBL</t>
  </si>
  <si>
    <t>DMA</t>
  </si>
  <si>
    <t>管理工具</t>
  </si>
  <si>
    <t>兼容性</t>
  </si>
  <si>
    <t>·</t>
  </si>
  <si>
    <t>执行率统计</t>
  </si>
  <si>
    <t>yundu_asic_gen1_20240827_dma_mep</t>
  </si>
  <si>
    <t>yundu_asic_gen1_20240918.pack</t>
  </si>
  <si>
    <t>PCIe_CV_DSP_001</t>
  </si>
  <si>
    <t>2.2.1. TD_1_1 user-specified PCI Register (Debug Mode only)</t>
  </si>
  <si>
    <t>PCIECV_APP</t>
  </si>
  <si>
    <t>PCIe_CV_DSP_002</t>
  </si>
  <si>
    <t>2.2.1. TD_1_2 PCI Express Capability Structure</t>
  </si>
  <si>
    <t>PCIe_CV_DSP_003</t>
  </si>
  <si>
    <t>2.2.1. TD_1_3 PCI Express Capabilities Register</t>
  </si>
  <si>
    <t>PCIe_CV_DSP_004</t>
  </si>
  <si>
    <t>2.2.1. TD_1_4 Device Capabilities, Device Control, and Device Status Registers</t>
  </si>
  <si>
    <t>PCIe_CV_DSP_005</t>
  </si>
  <si>
    <t>2.2.1. TD_1_5 Link Capabilities, Link Control, and Link Status Registers</t>
  </si>
  <si>
    <t>PCIe_CV_DSP_006</t>
  </si>
  <si>
    <t>2.2.1. TD_1_6 MSI Capability Structure</t>
  </si>
  <si>
    <t>PCIe_CV_DSP_007</t>
  </si>
  <si>
    <t>2.2.1. TD_1_7 Advanced Error Reporting Ext Cap Struct</t>
  </si>
  <si>
    <t>PCIe_CV_DSP_008</t>
  </si>
  <si>
    <t>2.2.1. TD_1_8 Virtual Channel Extended Capability Structure</t>
  </si>
  <si>
    <t>PCIe_CV_DSP_009</t>
  </si>
  <si>
    <t>2.2.1. TD_1_9 Device Serial Number Extended Capability Structure</t>
  </si>
  <si>
    <t>PCIe_CV_DSP_010</t>
  </si>
  <si>
    <t>2.2.1. TD_1_10 Power Budgeting Extended Capability Structure</t>
  </si>
  <si>
    <t>PCIe_CV_DSP_011</t>
  </si>
  <si>
    <t>2.2.1. TD_1_11 Command and Status Registers</t>
  </si>
  <si>
    <t>PCIe_CV_DSP_012</t>
  </si>
  <si>
    <t>2.2.1. TD_1_12 Cache Line Size, Latency Timer, and Min_Gnt/Max_Lat Registers</t>
  </si>
  <si>
    <t>PCIe_CV_DSP_013</t>
  </si>
  <si>
    <t>2.2.1. TD_1_13 Interrupt Pin and Interrupt Line Registers</t>
  </si>
  <si>
    <t>PCIe_CV_DSP_014</t>
  </si>
  <si>
    <t>2.2.1. TD_1_14 Secondary Latency Timer and Secondary Status Registers</t>
  </si>
  <si>
    <t>PCIe_CV_DSP_015</t>
  </si>
  <si>
    <t>2.2.1. TD_1_15 Bridge Control Register</t>
  </si>
  <si>
    <t>PCIe_CV_DSP_016</t>
  </si>
  <si>
    <t>2.2.1. TD_1_16 PCI Power Management Capability Structure</t>
  </si>
  <si>
    <t>PCIe_CV_DSP_017</t>
  </si>
  <si>
    <t>2.2.1. TD_1_17 MSI-X Capability Structure</t>
  </si>
  <si>
    <t>PCIe_CV_DSP_018</t>
  </si>
  <si>
    <t>2.2.1. TD_1_18 Base Address Registers</t>
  </si>
  <si>
    <t>PCIe_CV_DSP_019</t>
  </si>
  <si>
    <t>2.2.1. TD_1_19 Multi-Function Virtual Channel Extended Capability Structure</t>
  </si>
  <si>
    <t>PCIe_CV_DSP_020</t>
  </si>
  <si>
    <t>2.2.1. TD_1_20 Vendor-Specific Extended Capability Structure</t>
  </si>
  <si>
    <t>PCIe_CV_DSP_021</t>
  </si>
  <si>
    <t>2.2.1. TD_1_21 BIST Register</t>
  </si>
  <si>
    <t>PCIe_CV_DSP_022</t>
  </si>
  <si>
    <t>2.2.1. TD_1_22 Slot Numbering Capability Structure</t>
  </si>
  <si>
    <t>PCIe_CV_DSP_023</t>
  </si>
  <si>
    <t>2.2.1. TD_1_23 PCI Next Capability Pointer Register</t>
  </si>
  <si>
    <t>PCIe_CV_DSP_024</t>
  </si>
  <si>
    <t>2.2.1. TD_1_24 PCI Express Next Extended Capability Pointer Register</t>
  </si>
  <si>
    <t>PCIe_CV_DSP_025</t>
  </si>
  <si>
    <t>2.2.1. TD_1_25 Misc Type 0 Config Space Header Registers</t>
  </si>
  <si>
    <t>PCIe_CV_DSP_026</t>
  </si>
  <si>
    <t>2.2.1. TD_1_26 Misc Type 1 Config Space Header Registers</t>
  </si>
  <si>
    <t>PCIe_CV_DSP_027</t>
  </si>
  <si>
    <t>2.2.1. TD_1_27 Multi-Function</t>
  </si>
  <si>
    <t>PCIe_CV_DSP_028</t>
  </si>
  <si>
    <t>2.2.1. TD_1_28 Vital Product Data Capability Structure</t>
  </si>
  <si>
    <t>PCIe_CV_DSP_029</t>
  </si>
  <si>
    <t>2.2.1. TD_1_29 Root Complex Event Collector Endpoint Association Extended CapabilityStructure</t>
  </si>
  <si>
    <t>PCIe_CV_DSP_030</t>
  </si>
  <si>
    <t>2.2.1. TD_1_30 Root Complex Link Declaration Extended Capability Structure</t>
  </si>
  <si>
    <t>PCIe_CV_DSP_031</t>
  </si>
  <si>
    <t>2.2.1. TD_1_31 Root Complex Internal Link Control Extended Capability Structure</t>
  </si>
  <si>
    <t>PCIe_CV_DSP_032</t>
  </si>
  <si>
    <t>2.2.1. TD_1_32 PCI-X Capability Structure</t>
  </si>
  <si>
    <t>PCIe_CV_DSP_033</t>
  </si>
  <si>
    <t>2.2.1. TD_1_33 user-specified PCI Register (Debug Mode only)</t>
  </si>
  <si>
    <t>PCIe_CV_DSP_034</t>
  </si>
  <si>
    <t>2.2.1. TD_1_34 RCRB Header Extended Capability Structure</t>
  </si>
  <si>
    <t>PCIe_CV_DSP_035</t>
  </si>
  <si>
    <t>2.2.1. TD_1_35 Configuration Access Correlation Extended Capability Structure</t>
  </si>
  <si>
    <t>PCIe_CV_DSP_036</t>
  </si>
  <si>
    <t>2.2.1. TD_1_36 user-specified PCI Register (Debug Mode only)</t>
  </si>
  <si>
    <t>PCIe_CV_DSP_037</t>
  </si>
  <si>
    <t>2.2.1. TD_1_37 user-specified PCI Register (Debug Mode only)</t>
  </si>
  <si>
    <t>PCIe_CV_DSP_038</t>
  </si>
  <si>
    <t>2.2.1. TD_1_38 user-specified PCI Register (Debug Mode only)</t>
  </si>
  <si>
    <t>PCIe_CV_DSP_039</t>
  </si>
  <si>
    <t>2.2.1. TD_1_39 Function Level Reset</t>
  </si>
  <si>
    <t>PCIe_CV_DSP_040</t>
  </si>
  <si>
    <t>2.2.1. TD_1_40 Device Capabilities 2, Device Control 2, and Device Status 2 Registers</t>
  </si>
  <si>
    <t>PCIe_CV_DSP_041</t>
  </si>
  <si>
    <t>2.2.1. TD_1_41 Link Capabilities 2, Link Control 2, and Link Status 2 Registers</t>
  </si>
  <si>
    <t>PCIe_CV_DSP_042</t>
  </si>
  <si>
    <t>2.2.1. TD_1_42 ACS Extended Capability Structure</t>
  </si>
  <si>
    <t>PCIe_CV_DSP_043</t>
  </si>
  <si>
    <t>2.2.1. TD_1_43 ARI Extended Capability Structure</t>
  </si>
  <si>
    <t>PCIe_CV_DSP_044</t>
  </si>
  <si>
    <t>2.2.1. TD_1_44 DPA Extended Capability Structure</t>
  </si>
  <si>
    <t>PCIe_CV_DSP_045</t>
  </si>
  <si>
    <t>2.2.1. TD_1_45 Resizable BAR Extended Capability Structure</t>
  </si>
  <si>
    <t>PCIe_CV_DSP_046</t>
  </si>
  <si>
    <t>2.2.1. TD_1_46 Multicast Extended Capability Structure</t>
  </si>
  <si>
    <t>PCIe_CV_DSP_047</t>
  </si>
  <si>
    <t>2.2.1. TD_1_47 LTR Extended Capability Structure</t>
  </si>
  <si>
    <t>PCIe_CV_DSP_048</t>
  </si>
  <si>
    <t>2.2.1. TD_1_48 TPH Requester Extended Capability Structure</t>
  </si>
  <si>
    <t>PCIe_CV_DSP_049</t>
  </si>
  <si>
    <t>2.2.1. TD_1_49 Slot Capabilities, Slot Control, and Slot Status Registers</t>
  </si>
  <si>
    <t>PCIe_CV_DSP_050</t>
  </si>
  <si>
    <t>2.2.1. TD_1_50 Slot Capabilities 2, Slot Control 2, and Slot Status 2 Registers</t>
  </si>
  <si>
    <t>PCIe_CV_DSP_051</t>
  </si>
  <si>
    <t>2.2.1. TD_1_51 Root Capabilities, Root Control, and Root Status Registers</t>
  </si>
  <si>
    <t>PCIe_CV_DSP_052</t>
  </si>
  <si>
    <t>2.2.1. TD_1_52 Vendor-Specific Capability Structure</t>
  </si>
  <si>
    <t>PCIe_CV_DSP_053</t>
  </si>
  <si>
    <t>2.2.1. TD_1_53 SSID/SSVID Capability Structure</t>
  </si>
  <si>
    <t>PCIe_CV_DSP_054</t>
  </si>
  <si>
    <t>2.2.1. TD_1_54 ATS Extended Capability Structure</t>
  </si>
  <si>
    <t>PCIe_CV_DSP_055</t>
  </si>
  <si>
    <t>2.2.1. TD_1_55 Page Request Extended Capability Structure</t>
  </si>
  <si>
    <t>PCIe_CV_DSP_056</t>
  </si>
  <si>
    <t>2.2.1. TD_1_56 SR-IOV Extended Capability Structure</t>
  </si>
  <si>
    <t>PCIe_CV_DSP_057</t>
  </si>
  <si>
    <t>2.2.1. TD_1_57 MR-IOV Extended Capability Structure</t>
  </si>
  <si>
    <t>PCIe_CV_DSP_058</t>
  </si>
  <si>
    <t>2.2.1. TD_1_58 Secondary PCI Express Extended Capability Structure</t>
  </si>
  <si>
    <t>PCIe_CV_DSP_059</t>
  </si>
  <si>
    <t>2.2.1. TD_1_59 Protocol Multiplexing Extended Capability Structure</t>
  </si>
  <si>
    <t>PCIe_CV_DSP_060</t>
  </si>
  <si>
    <t>2.2.1. TD_1_60 PASID Extended Capability Structure</t>
  </si>
  <si>
    <t>PCIe_CV_DSP_061</t>
  </si>
  <si>
    <t>2.2.1. TD_1_61 LNR Extended Capability Structure</t>
  </si>
  <si>
    <t>PCIe_CV_DSP_062</t>
  </si>
  <si>
    <t>2.2.1. TD_1_62 DPC Extended Capability Structure</t>
  </si>
  <si>
    <t>PCIe_CV_DSP_063</t>
  </si>
  <si>
    <t>2.2.1. TD_1_63 L1 PM Substates Extended Capability Structure</t>
  </si>
  <si>
    <t>PCIe_CV_DSP_064</t>
  </si>
  <si>
    <t>2.2.1. TD_1_64 PTM Extended Capability Structure</t>
  </si>
  <si>
    <t>PCIe_CV_DSP_065</t>
  </si>
  <si>
    <t>2.2.1. TD_1_65 M-PCIe Extended Capability Structure</t>
  </si>
  <si>
    <t>PCIe_CV_DSP_066</t>
  </si>
  <si>
    <t>2.2.1. TD_1_66 FRS Queueing Extended Capability Structure</t>
  </si>
  <si>
    <t>PCIe_CV_DSP_067</t>
  </si>
  <si>
    <t>2.2.1. TD_1_67 Readiness Time Reporting Extended Capability Structure</t>
  </si>
  <si>
    <t>PCIe_CV_DSP_068</t>
  </si>
  <si>
    <t>2.2.1. TD_1_68 Designated Vendor-Specific Extended Capability Structure</t>
  </si>
  <si>
    <t>PCIe_CV_DSP_069</t>
  </si>
  <si>
    <t>2.2.1. TD_1_69 VF Resizable BAR Extended Capability Structure</t>
  </si>
  <si>
    <t>PCIe_CV_DSP_070</t>
  </si>
  <si>
    <t>2.2.1. TD_1_70 Null Capability Structure</t>
  </si>
  <si>
    <t>PCIe_CV_DSP_071</t>
  </si>
  <si>
    <t>2.2.1. TD_1_71 Null Extended Capability Structure</t>
  </si>
  <si>
    <t>PCIe_CV_DSP_072</t>
  </si>
  <si>
    <t>2.2.1. TD_1_72 Data Link Feature Extended Capability Structure</t>
  </si>
  <si>
    <t>PCIe_CV_DSP_073</t>
  </si>
  <si>
    <t>2.2.1. TD_1_73 Physical Layer 16.0 GT/s Extended Capability Structure</t>
  </si>
  <si>
    <t>PCIe_CV_DSP_074</t>
  </si>
  <si>
    <t>2.2.1. TD_1_74 Margining Extended Capability Structure</t>
  </si>
  <si>
    <t>PCIe_CV_DSP_075</t>
  </si>
  <si>
    <t>2.2.1. TD_1_75 Hierarchy ID Extended Capability Structure</t>
  </si>
  <si>
    <t>PCIe_CV_DSP_076</t>
  </si>
  <si>
    <t>2.2.1. TD_1_76 Native PCIe Enclosure Management Extended Capability Structure</t>
  </si>
  <si>
    <t>PCIe_CV_DSP_077</t>
  </si>
  <si>
    <t>2.2.1. TD_1_77 SFI Extended Capability Structure</t>
  </si>
  <si>
    <t>PCIe_CV_DSP_078</t>
  </si>
  <si>
    <t>2.2.1. TD_1_78 Physical Layer 32.0 GT/s Extended Capability Structure</t>
  </si>
  <si>
    <t>PCIe_CV_DSP_079</t>
  </si>
  <si>
    <t>2.2.1. TD_1_79 Alternate Protocol Extended Capability Structure</t>
  </si>
  <si>
    <t>PCIe_CV_DSP_080</t>
  </si>
  <si>
    <t>2.2.1. TD_3_8 Link Retraining Stress (Downstream Ports)</t>
  </si>
  <si>
    <t>PCIe_CV_DSP_081</t>
  </si>
  <si>
    <t>2.2.1. TD_3_10 Initiated Link Speed (Downstream Ports)</t>
  </si>
  <si>
    <t>PCIe_CV_DSP_082</t>
  </si>
  <si>
    <t>2.2.1. TD_3_11 Supported Link Width (Downstream Ports)</t>
  </si>
  <si>
    <t>PCIe_CV_DSP_083</t>
  </si>
  <si>
    <t>2.2.1. TD_3_12 ARI Downstream Ports Support Non-Zero Device Number</t>
  </si>
  <si>
    <t>PCIe_CV_DSP_084</t>
  </si>
  <si>
    <t>2.2.1. TD_3_13 Secondary Bus Reset (Downstream Ports)</t>
  </si>
  <si>
    <t>PCIe_CV_DSP_085</t>
  </si>
  <si>
    <t>2.2.1. TD_3_14 Software Initiated 8.0 GT/s Link Equalization (Downstream Ports)</t>
  </si>
  <si>
    <t>PCIe_CV_DSP_086</t>
  </si>
  <si>
    <t>2.2.1. TD_3_15 ASPM Configuration Stress (Downstream Ports)</t>
  </si>
  <si>
    <t>PCIe_CV_DSP_087</t>
  </si>
  <si>
    <t>2.2.1. TD_3_16 Software Initiated 16.0 GT/s Link Equalization (Downstream Ports)</t>
  </si>
  <si>
    <t>PCIe_CV_DSP_088</t>
  </si>
  <si>
    <t>2.2.1. TD_3_17 Software Initiated 32.0 GT/s Link Equalization (Downstream Ports)</t>
  </si>
  <si>
    <t>PCIe_CV_DSP_089</t>
  </si>
  <si>
    <t>2.2.76. TD_1_998 Aggregated Secondary Bus Reset</t>
  </si>
  <si>
    <t>PRD Revision Control Form</t>
  </si>
  <si>
    <t>Rev</t>
  </si>
  <si>
    <t>Sub Rev</t>
  </si>
  <si>
    <t>Date of Action</t>
  </si>
  <si>
    <t>Content of Action</t>
  </si>
  <si>
    <t>By</t>
  </si>
  <si>
    <t>Remark</t>
  </si>
  <si>
    <t>v1.0</t>
  </si>
  <si>
    <t>Intial Draft Version</t>
  </si>
  <si>
    <t>图1 1215-1</t>
  </si>
  <si>
    <t>图2 1215-2</t>
  </si>
  <si>
    <t>PCIe_CV_USP_001</t>
  </si>
  <si>
    <t>PCIe_CV_USP_002</t>
  </si>
  <si>
    <t>2.2.2. TD_1_2 PCI Express Capability Structure</t>
  </si>
  <si>
    <t>PCIe_CV_USP_003</t>
  </si>
  <si>
    <t>2.2.3. TD_1_3 PCI Express Capabilities Register</t>
  </si>
  <si>
    <t>PCIe_CV_USP_004</t>
  </si>
  <si>
    <t>2.2.4. TD_1_4 Device Capabilities, Device Control, and Device Status Registers</t>
  </si>
  <si>
    <t>PCIe_CV_USP_005</t>
  </si>
  <si>
    <t>2.2.5. TD_1_40 Device Capabilities 2, Device Control 2, and Device Status 2 Registers</t>
  </si>
  <si>
    <t>PCIe_CV_USP_006</t>
  </si>
  <si>
    <t>2.2.6. TD_1_5 Link Capabilities, Link Control, and Link Status Registers</t>
  </si>
  <si>
    <t>PCIe_CV_USP_007</t>
  </si>
  <si>
    <t>2.2.7. TD_1_41 Link Capabilities 2, Link Control 2, and Link Status 2 Registers</t>
  </si>
  <si>
    <t>PCIe_CV_USP_008</t>
  </si>
  <si>
    <t>2.2.8. TD_1_49 Slot Capabilities, Slot Control, and Slot Status Registers</t>
  </si>
  <si>
    <t>PCIe_CV_USP_009</t>
  </si>
  <si>
    <t>2.2.9. TD_1_50 Slot Capabilities 2, Slot Control 2, and Slot Status 2 Registers</t>
  </si>
  <si>
    <t>PCIe_CV_USP_010</t>
  </si>
  <si>
    <t>2.2.10. TD_1_51 Root Capabilities, Root Control, and Root Status Registers</t>
  </si>
  <si>
    <t>’</t>
  </si>
  <si>
    <t>2.2.11. TD_1_6 MSI Capability Structure</t>
  </si>
  <si>
    <t>PCIe_CV_USP_012</t>
  </si>
  <si>
    <t>2.2.12. TD_1_7 Advanced Error Reporting Extended Capability Structure</t>
  </si>
  <si>
    <t>PCIe_CV_USP_013</t>
  </si>
  <si>
    <t>2.2.13. TD_1_8 Virtual Channel Extended Capability Structure</t>
  </si>
  <si>
    <t>PCIe_CV_USP_014</t>
  </si>
  <si>
    <t>2.2.14. TD_1_9 Device Serial Number Extended Capability Structure</t>
  </si>
  <si>
    <t>PCIe_CV_USP_015</t>
  </si>
  <si>
    <t>2.2.15. TD_1_10 Power Budgeting Extended Capability Structure</t>
  </si>
  <si>
    <t>PCIe_CV_USP_016</t>
  </si>
  <si>
    <t>2.2.16. TD_1_11 Command and Status Registers</t>
  </si>
  <si>
    <t>PCIe_CV_USP_017</t>
  </si>
  <si>
    <t>2.2.17. TD_1_12 Cache Line Size, Latency Timer, and Min_Gnt/Max_Lat Registers</t>
  </si>
  <si>
    <t>PCIe_CV_USP_018</t>
  </si>
  <si>
    <t>2.2.18. TD_1_13 Interrupt Pin and Interrupt Line Registers</t>
  </si>
  <si>
    <t>PCIe_CV_USP_019</t>
  </si>
  <si>
    <t>2.2.19. TD_1_14 Secondary Latency Timer and Secondary Status Registers</t>
  </si>
  <si>
    <t>PCIe_CV_USP_020</t>
  </si>
  <si>
    <t>2.2.20. TD_1_15 Bridge Control Register</t>
  </si>
  <si>
    <t>PCIe_CV_USP_021</t>
  </si>
  <si>
    <t>2.2.21. TD_1_16 PCI Power Management Capability Structure</t>
  </si>
  <si>
    <t>PCIe_CV_USP_022</t>
  </si>
  <si>
    <t>2.2.22. TD_1_17 MSI-X Capability Structure</t>
  </si>
  <si>
    <t>PCIe_CV_USP_023</t>
  </si>
  <si>
    <t>2.2.23. TD_1_18 Base Address Registers</t>
  </si>
  <si>
    <t>PCIe_CV_USP_024</t>
  </si>
  <si>
    <t>2.2.24. TD_1_19 Multi-Function Virtual Channel Extended Capability Structure</t>
  </si>
  <si>
    <t>PCIe_CV_USP_025</t>
  </si>
  <si>
    <t>2.2.25. TD_1_52 Vendor-Specific Capability Structure</t>
  </si>
  <si>
    <t>PCIe_CV_USP_026</t>
  </si>
  <si>
    <t>2.2.26. TD_1_20 Vendor-Specific Extended Capability Structure</t>
  </si>
  <si>
    <t>PCIe_CV_USP_027</t>
  </si>
  <si>
    <t>2.2.27. TD_1_68 Designated Vendor-Specific Extended Capability Structure</t>
  </si>
  <si>
    <t>PCIe_CV_USP_028</t>
  </si>
  <si>
    <t>2.2.28. TD_1_70 Null Capability Structure</t>
  </si>
  <si>
    <t>PCIe_CV_USP_029</t>
  </si>
  <si>
    <t>2.2.29. TD_1_71 Null Extended Capability Structure</t>
  </si>
  <si>
    <t>PCIe_CV_USP_030</t>
  </si>
  <si>
    <t>2.2.30. TD_1_21 BIST Register</t>
  </si>
  <si>
    <t>PCIe_CV_USP_031</t>
  </si>
  <si>
    <t>2.2.31. TD_1_22 Slot Numbering Capability Structure</t>
  </si>
  <si>
    <t>PCIe_CV_USP_032</t>
  </si>
  <si>
    <t>2.2.32. TD_1_53 SSID/SSVID Capability Structure</t>
  </si>
  <si>
    <t>PCIe_CV_USP_033</t>
  </si>
  <si>
    <t>2.2.33. TD_1_23 PCI Next Capability Pointer Register</t>
  </si>
  <si>
    <t>PCIe_CV_USP_034</t>
  </si>
  <si>
    <t>2.2.34. TD_1_24 PCI Express Next Extended Capability Pointer Register</t>
  </si>
  <si>
    <t>PCIe_CV_USP_035</t>
  </si>
  <si>
    <t>2.2.35. TD_1_25 Misc Type 0 Config Space Header Registers</t>
  </si>
  <si>
    <t>PCIe_CV_USP_036</t>
  </si>
  <si>
    <t>2.2.36. TD_1_26 Misc Type 1 Config Space Header Registers</t>
  </si>
  <si>
    <t>PCIe_CV_USP_037</t>
  </si>
  <si>
    <t>2.2.37. TD_1_27 Multi-Function</t>
  </si>
  <si>
    <t>PCIe_CV_USP_038</t>
  </si>
  <si>
    <t>2.2.38. TD_1_28 Vital Product Data Capability Structure</t>
  </si>
  <si>
    <t>PCIe_CV_USP_039</t>
  </si>
  <si>
    <t>2.2.39. TD_1_32 PCI-X Capability Structure</t>
  </si>
  <si>
    <t>PCIe_CV_USP_040</t>
  </si>
  <si>
    <t>2.2.40. TD_1_30 Root Complex Link Declaration Extended Capability Structure</t>
  </si>
  <si>
    <t>PCIe_CV_USP_041</t>
  </si>
  <si>
    <t>2.2.41. TD_1_31 Root Complex Internal Link Control Extended Capability Structure</t>
  </si>
  <si>
    <t>PCIe_CV_USP_042</t>
  </si>
  <si>
    <t>2.2.42. TD_1_34 RCRB Header Extended Capability Structure</t>
  </si>
  <si>
    <t>PCIe_CV_USP_043</t>
  </si>
  <si>
    <t>2.2.43. TD_1_29 Root Complex Event Collector Endpoint Association Extended CapabilityStructure</t>
  </si>
  <si>
    <t>PCIe_CV_USP_044</t>
  </si>
  <si>
    <t>2.2.44. TD_1_35 Configuration Access Correlation Extended Capability Structure</t>
  </si>
  <si>
    <t>PCIe_CV_USP_045</t>
  </si>
  <si>
    <t>2.2.45. TD_1_39 Function Level Reset</t>
  </si>
  <si>
    <t>PCIe_CV_USP_046</t>
  </si>
  <si>
    <t>2.2.46. TD_1_42 ACS Extended Capability Structure</t>
  </si>
  <si>
    <t>PCIe_CV_USP_047</t>
  </si>
  <si>
    <t>2.2.47. TD_1_43 ARI Extended Capability Structure</t>
  </si>
  <si>
    <t>PCIe_CV_USP_048</t>
  </si>
  <si>
    <t>2.2.48. TD_1_44 DPA Extended Capability Structure</t>
  </si>
  <si>
    <t>PCIe_CV_USP_049</t>
  </si>
  <si>
    <t>2.2.49. TD_1_45 Resizable BAR Extended Capability Structure</t>
  </si>
  <si>
    <t>PCIe_CV_USP_050</t>
  </si>
  <si>
    <t>2.2.50. TD_1_69 VF Resizable BAR Extended Capability Structure</t>
  </si>
  <si>
    <t>PCIe_CV_USP_051</t>
  </si>
  <si>
    <t>2.2.51. TD_1_46 Multicast Extended Capability Structure</t>
  </si>
  <si>
    <t>PCIe_CV_USP_052</t>
  </si>
  <si>
    <t>2.2.52. TD_1_47 LTR Extended Capability Structure</t>
  </si>
  <si>
    <t>PCIe_CV_USP_053</t>
  </si>
  <si>
    <t>2.2.53. TD_1_48 TPH Requester Extended Capability Structure</t>
  </si>
  <si>
    <t>PCIe_CV_USP_054</t>
  </si>
  <si>
    <t>2.2.54. TD_1_54 ATS Extended Capability Structure</t>
  </si>
  <si>
    <t>PCIe_CV_USP_055</t>
  </si>
  <si>
    <t>2.2.55. TD_1_55 Page Request Extended Capability Structure</t>
  </si>
  <si>
    <t>PCIe_CV_USP_056</t>
  </si>
  <si>
    <t>2.2.56. TD_1_56 SR-IOV Extended Capability Structure</t>
  </si>
  <si>
    <t>PCIe_CV_USP_057</t>
  </si>
  <si>
    <t>2.2.57. TD_1_57 MR-IOV Extended Capability Structure</t>
  </si>
  <si>
    <t>PCIe_CV_USP_058</t>
  </si>
  <si>
    <t>2.2.58. TD_1_58 Secondary PCI Express Extended Capability Structure</t>
  </si>
  <si>
    <t>PCIe_CV_USP_059</t>
  </si>
  <si>
    <t>2.2.59. TD_1_59 Protocol Multiplexing Extended Capability Structure</t>
  </si>
  <si>
    <t>PCIe_CV_USP_060</t>
  </si>
  <si>
    <t>2.2.60. TD_1_60 PASID Extended Capability Structure</t>
  </si>
  <si>
    <t>PCIe_CV_USP_061</t>
  </si>
  <si>
    <t>2.2.61. TD_1_61 LNR Extended Capability Structure</t>
  </si>
  <si>
    <t>PCIe_CV_USP_062</t>
  </si>
  <si>
    <t>2.2.62. TD_1_62 DPC Extended Capability Structure</t>
  </si>
  <si>
    <t>PCIe_CV_USP_063</t>
  </si>
  <si>
    <t>2.2.63. TD_1_63 L1 PM Substates Extended Capability Structure</t>
  </si>
  <si>
    <t>PCIe_CV_USP_064</t>
  </si>
  <si>
    <t>2.2.64. TD_1_64 PTM Extended Capability Structure</t>
  </si>
  <si>
    <t>PCIe_CV_USP_065</t>
  </si>
  <si>
    <t>2.2.65. TD_1_65 M-PCIe Extended Capability Structure</t>
  </si>
  <si>
    <t>PCIe_CV_USP_066</t>
  </si>
  <si>
    <t>2.2.66. TD_1_66 FRS Queueing Extended Capability Structure</t>
  </si>
  <si>
    <t>PCIe_CV_USP_067</t>
  </si>
  <si>
    <t>2.2.67. TD_1_67 Readiness Time Reporting Extended Capability Structure</t>
  </si>
  <si>
    <t>PCIe_CV_USP_068</t>
  </si>
  <si>
    <t>2.2.68. TD_1_72 Data Link Feature Extended Capability Structure</t>
  </si>
  <si>
    <t>PCIe_CV_USP_069</t>
  </si>
  <si>
    <t>2.2.69. TD_1_73 Physical Layer 16.0 GT/s Extended Capability Structure</t>
  </si>
  <si>
    <t>PCIe_CV_USP_070</t>
  </si>
  <si>
    <t>2.2.70. TD_1_74 Margining Extended Capability Structure</t>
  </si>
  <si>
    <t>PCIe_CV_USP_071</t>
  </si>
  <si>
    <t>2.2.71. TD_1_75 Hierarchy ID Extended Capability Structure</t>
  </si>
  <si>
    <t>PCIe_CV_USP_072</t>
  </si>
  <si>
    <t>2.2.72. TD_1_76 Native PCIe Enclosure Management Extended Capability Structure</t>
  </si>
  <si>
    <t>PCIe_CV_USP_073</t>
  </si>
  <si>
    <t>2.2.73. TD_1_77 SFI Extended Capability Structure</t>
  </si>
  <si>
    <t>PCIe_CV_USP_074</t>
  </si>
  <si>
    <t>2.2.74. TD_1_78 Physical Layer 32.0 GT/s Extended Capability Structure</t>
  </si>
  <si>
    <t>PCIe_CV_USP_075</t>
  </si>
  <si>
    <t>2.2.75. TD_1_79 Alternate Protocol Extended Capability Structure</t>
  </si>
  <si>
    <t>PCIe_CV_USP_076</t>
  </si>
  <si>
    <t>PCIe_CV_USP_077</t>
  </si>
  <si>
    <t>2.2.77. TD_1_999 Aggregated Function Level Reset</t>
  </si>
  <si>
    <t>PCIe_CV_USP_078</t>
  </si>
  <si>
    <t>2.3. CONFIGURATION REGISTER FUNCTIONAL TESTS (DEVICES WITH UPSTREAM PORTS)</t>
  </si>
  <si>
    <t>PCIe_CV_USP_079</t>
  </si>
  <si>
    <t>2.3.1. TD_2_1 ASPM Configuration Stress (Upstream Ports)</t>
  </si>
  <si>
    <t>PCIe_CV_USP_080</t>
  </si>
  <si>
    <t>2.3.2. TD_2_2 Link Retraining Stress (Upstream Ports)</t>
  </si>
  <si>
    <t>PCIe_CV_USP_081</t>
  </si>
  <si>
    <t>2.3.3. TD_2_3 Tolerance of Hot-Plug Signaling/Ignored Messages</t>
  </si>
  <si>
    <t>PCIe_CV_USP_082</t>
  </si>
  <si>
    <t>2.3.4. TD_2_4 Response To Earliest Allowed Configuration Requests After Reset</t>
  </si>
  <si>
    <t>PCIe_CV_USP_083</t>
  </si>
  <si>
    <t>2.3.5. TD_2_6 Secondary Bus Reset (Upstream Ports)</t>
  </si>
  <si>
    <t>PCIe_CV_USP_084</t>
  </si>
  <si>
    <t>2.3.6. TD_2_7 Requested Link Speed (Upstream Ports)</t>
  </si>
  <si>
    <t>PCIe_CV_USP_085</t>
  </si>
  <si>
    <t>2.3.7. TD_2_8 Supported Link Width (Upstream Ports)</t>
  </si>
  <si>
    <t>PCIe_CV_USP_086</t>
  </si>
  <si>
    <t>2.3.8. TD_2_12 Non-ARI Upstream Ports Support Non-Zero Device Number</t>
  </si>
  <si>
    <t>PCIe_CV_USP_087</t>
  </si>
  <si>
    <t>2.3.9. TD_2_9 Software Initiated 8.0 GT/s Link Equalization (Upstream Ports)</t>
  </si>
  <si>
    <t>PCIe_CV_USP_088</t>
  </si>
  <si>
    <t>2.3.10. TD_2_10 Software Initiated 16.0 GT/s Link Equalization (Upstream Ports)</t>
  </si>
  <si>
    <t>PCIe_CV_USP_089</t>
  </si>
  <si>
    <t>2.3.11. TD_2_11 Software Initiated 32.0 GT/s Link Equalization (Upstream Ports)</t>
  </si>
  <si>
    <t>PCIe_SYS_DMA_001</t>
  </si>
  <si>
    <t>DMA from RC and EP
同一switch内memcpy
功能及性能</t>
  </si>
  <si>
    <t>测试步骤
1. host0连接switch USP+DMA port，nvme0接switch  DSP port
2.在host0侧lspci能看到DMA ep和nvme0，DMA driver就绪，在host0上分配A_addr/B_addr，在nvme设备bar2中分配C_addr
3.将A_addr设置为src_addr，C_addr设置为dst_addr，启动DMA memcpy方式传输
4.完成后触发host注册的回调函数callback_func，此时查询DMA通道状态为空闲
5.在callback_func完成后，设置C_addr为src_addr，B_addr为dst_addr，启动DMA memcpy将数据读回
6. 完成后触发host注册的回调函数callback_func，比较A_addr/B_addr数据是否一致
7.统计本轮两次DMA读写传输所用时间，计算传输速率
8.修改数据内容和数据长度，重复3-5次</t>
  </si>
  <si>
    <t>测试结果：
1.在设备侧查看数据写入成功，读回数据校验一致
2.在host上查看中断计数增加
3.性能统计符合预期</t>
  </si>
  <si>
    <t>申请空间时需要注意是否开启iommu，如果开启iommu需要申请主存时选定dma ep所在iommu group的总线地址</t>
  </si>
  <si>
    <t>PCIe_SYS_DMA_002</t>
  </si>
  <si>
    <t>DMA from RC to RC
同一HOST 主机内存的传输
功能及性能</t>
  </si>
  <si>
    <t>测试步骤
1. host0连接switch USP+DMA port，nvme0接switch  DSP port，nvme1接switch DSP port
2.在host0侧lspci能看到DMA ep，DMA driver就绪，在host0上分配A_addr/B_addr/C_addr
3.将A_addr设置为src_addr，B_addr设置为dst_addr，启动DMA memcpy方式传输
4.完成后触发host注册的回调函数callback_func，此时查询DMA通道状态为空闲
5.在callback_func完成后，设置A_addr为src_addr，C_addr为dst_addr，启动DMA memcpy将数据读回
6. 完成后触发host注册的回调函数callback_func，比较B_addr/C_addr数据是否一致
7.统计本轮两次DMA读写传输所用时间，计算传输速率
8.修改数据内容和数据长度，重复3-5次</t>
  </si>
  <si>
    <t xml:space="preserve">
测试结果：
1.在host0侧查看数据写入成功，读回数据校验一致
2.性能统计符合预期</t>
  </si>
  <si>
    <t>同PCIe_SYS_DMA_001</t>
  </si>
  <si>
    <t>PCIe_SYS_DMA_003</t>
  </si>
  <si>
    <t>DMA from EP to EP
同一switch内memcpy
功能及性能</t>
  </si>
  <si>
    <t>测试步骤
1. host0连接switch USP+DMA port，nvme0接switch  DSP port，nvme1接switch DSP port
2.在host0侧lspci能看到DMA ep和nvme0 nvme1，DMA driver就绪，在nvme0上分配A_addr/B_addr，在nvme1设备bar2中分配C_addr
3.将A_addr设置为src_addr，C_addr设置为dst_addr，启动DMA memcpy方式传输
4.完成后触发host注册的回调函数callback_func，此时查询DMA通道状态为空闲
5.在callback_func完成后，设置C_addr为src_addr，B_addr为dst_addr，启动DMA memcpy将数据读回
6. 完成后触发host注册的回调函数callback_func，比较A_addr/B_addr数据是否一致
7.统计本轮两次DMA读写传输所用时间，计算传输速率
8.修改数据内容和数据长度，重复3-5次</t>
  </si>
  <si>
    <t xml:space="preserve">
测试结果：
1.在设备侧查看数据写入成功，读回数据校验一致
2.性能统计符合预期</t>
  </si>
  <si>
    <t>PCIe_SYS_DMA_005</t>
  </si>
  <si>
    <t>DMA通道轮询测试</t>
  </si>
  <si>
    <t>测试步骤：
1.基于case1，分别使用DMA channel 0-16进行传输</t>
  </si>
  <si>
    <t xml:space="preserve">
测试结果：
1. 每个通道传输都完成预期</t>
  </si>
  <si>
    <t>PCIe_SYS_DMA_006</t>
  </si>
  <si>
    <t>DMA ep配置空间读写</t>
  </si>
  <si>
    <t>测试步骤
1. host0连接switch USP+DMA port
2. 在host0侧lspci能看到DMA ep
3. lspci -vvv查看DMA ep配置空间</t>
  </si>
  <si>
    <t>测试结果：
1.在设备侧查看数据写入成功，读回数据校验一致
2.性能统计符合预期</t>
  </si>
  <si>
    <t>基础模式devmem2 b h 可写  w不可写</t>
  </si>
  <si>
    <t>配置空间setpci非devmem2</t>
  </si>
  <si>
    <t>PCIe_SYS_DMA_007</t>
  </si>
  <si>
    <t>DMA ep的FLR(Function Level Reset)</t>
  </si>
  <si>
    <t>测试步骤：
1. host0连接switch USP+DMA port
2. 在host0侧lspci能看到DMA ep
3. lspci -vvv查看DMA ep配置空间，Device Capabilities Register bit28为1，表示支持FLR
4. 确认当前DMA 通道状态为空闲
setpci Device Control Register bit15 = 1，触发FLR，lspci查看状态
setpci Device Control Register bit15 = 0，清除FLR，lspci查看状态</t>
  </si>
  <si>
    <t xml:space="preserve">
测试结果：
lspci查看DMA function的内部状态和寄存器复位
Sticky bits、有硬件初始化的值（Hardware-initialized bits）和链路专用寄存器（比如Captured Power，ASPM Control、Max Payload Size以及VC等寄存器）不变</t>
  </si>
  <si>
    <t>有一点小问题 等陈昊合并代码后复测</t>
  </si>
  <si>
    <t>PCIe_SYS_DMA_008</t>
  </si>
  <si>
    <t>DMA pause后通道可恢复</t>
  </si>
  <si>
    <t>测试步骤
1. host0连接switch USP+DMA port，nvme0接switch  DSP port
2.在host0侧lspci能看到DMA ep和nvme0，DMA driver就绪，在host0上分配A_addr/B_addr，在nvme设备bar2中分配C_addr
3.将A_addr设置为src_addr，B_addr设置为dst_addr，启动DMA memcpy方式传输
4.设置传输长度尽量大，启动传输后马上调用dma-&gt;device_pause中止传输
5. 查看对应DMA通道状态，为stop状态
6. 调用dma-&gt;device_resume恢复通道，查询通道状态是否为空闲
7. 若为空闲，重复step3启动传输</t>
  </si>
  <si>
    <t>测试结果：
1. pause之后通道状态为stop，resume后状态为空闲
2. 再次启用该通道传输成功</t>
  </si>
  <si>
    <t>此功能为软件驱动模拟功能，不实用，可不测</t>
  </si>
  <si>
    <t>PCIe_SYS_DMA_009</t>
  </si>
  <si>
    <t>DMA terminate后通道可恢复</t>
  </si>
  <si>
    <t>测试步骤：
1. 基于case：DMA多通道并行测试，尽可能大的轮询传输
2. 启动传输后调用dma-&gt;terminate_all中止所有传输
3. 查看对应DMA通道状态，为空闲状态
4. 若为空闲，重复step3启动传输</t>
  </si>
  <si>
    <t>测试结果：
1. terminate_all之后通道状态为空闲
2. 再次启用该通道传输成功</t>
  </si>
  <si>
    <t>PCIe_SYS_DMA_010</t>
  </si>
  <si>
    <t>DMA slave config测试</t>
  </si>
  <si>
    <t>测试步骤
1. host0连接switch USP+DMA port，nvme0接switch  DSP port
2.在host0侧lspci能看到DMA ep和nvme0，DMA driver就绪，在host0上分配A_addr/B_addr，在nvme设备bar2中分配C_addr
3.将A_addr设置为src_addr，C_addr设置为dst_addr，启动DMA memcpy方式传输，测试性能
4. 调用dma-&gt;device_config修改src_maxburst，重复step3</t>
  </si>
  <si>
    <t>测试结果：
1. src_maxburst修改成功
2. 修改前后性能和预期匹配</t>
  </si>
  <si>
    <t>PCIe_SYS_DMA_011</t>
  </si>
  <si>
    <t>DMA通道压力测试</t>
  </si>
  <si>
    <t>测试步骤：
1.基于case1，分别使用DMA channel 0-16进行传输50000次</t>
  </si>
  <si>
    <t>PCIe_SYS_DMA_012</t>
  </si>
  <si>
    <t>DMA一致性映射测试</t>
  </si>
  <si>
    <t>基于一致性映射测试DMA传输</t>
  </si>
  <si>
    <t>传输正常</t>
  </si>
  <si>
    <t>PCIe_SYS_DMA_013</t>
  </si>
  <si>
    <t>DMA流式映射测试</t>
  </si>
  <si>
    <t>基于流式映射测试DMA传输</t>
  </si>
  <si>
    <t>PCIe_SYS_DMA_014</t>
  </si>
  <si>
    <t xml:space="preserve"> DMA  classid  枚举</t>
  </si>
  <si>
    <t>1. lspci -D -n查看 DMA  classid</t>
  </si>
  <si>
    <t>对于EP设备 classid 为 0108/0880</t>
  </si>
  <si>
    <t>PCIe_SYS_DMA_015</t>
  </si>
  <si>
    <t xml:space="preserve"> DMA   vendorid deviceid 枚举</t>
  </si>
  <si>
    <t xml:space="preserve">1. lspci -D -n查看 DMA </t>
  </si>
  <si>
    <t>9011:1234 9011:5678</t>
  </si>
  <si>
    <t>PCIe_SYS_DMA_016</t>
  </si>
  <si>
    <t>卸载 DMA 驱动再重新绑定，枚举正常</t>
  </si>
  <si>
    <t>PCIe_SYS_DMA_017</t>
  </si>
  <si>
    <t>重复 加载卸载驱动500/1000次 后dma传输正常</t>
  </si>
  <si>
    <t>PCIe_SYS_DMA_019</t>
  </si>
  <si>
    <t>使用DMAtest测试性能</t>
  </si>
  <si>
    <t xml:space="preserve">echo 2000 &gt; /sys/module/dmatest/parameters/timeout
echo 1 &gt; /sys/module/dmatest/parameters/iterations
echo dma0chan0 &gt; /sys/module/dmatest/parameters/channel
echo 1 &gt; /sys/module/dmatest/parameters/run
</t>
  </si>
  <si>
    <t>查看测试结果
dmesg | tail -n 1 可以查看传输速率</t>
  </si>
  <si>
    <t>yundu_asic_gen1_20240827_dma_mep和yundu_asic_gen1_cap</t>
  </si>
  <si>
    <t>PCIe_SYS_AI_001</t>
  </si>
  <si>
    <t>基本：开启ACS 跑simpleP2P</t>
  </si>
  <si>
    <t>1、BIOS的ACS功能使能时（或使能RC/RP/USP 的ACS）
2、至少2个NVIDIA 显卡
3、已安装cuda、nvidia-smi可用</t>
  </si>
  <si>
    <t>1、进入cuda 目录，cd /usr/local/cuda-11.4/samples/0_Simple/simpleP2P
2、sudo make 编译后会在当前文件夹下生成一个名为“simpleP2P”的可执行文件</t>
  </si>
  <si>
    <t>1、运行失败</t>
  </si>
  <si>
    <t>PCIe_SYS_AI_002</t>
  </si>
  <si>
    <t>关闭ACS 跑simpleP2P</t>
  </si>
  <si>
    <t>1、BIOS的ACS功能禁用（或禁用RC/RP/USP 的ACS）
2、至少2个NVIDIA 显卡
3、已安装cuda、BIOS的ACS功能打开、nvidia-smi可用</t>
  </si>
  <si>
    <t>1、 进入cuda 目录，cd /usr/local/cuda-11.4/samples/0_Simple/simpleP2P
2、sudo make 编译后会在当前文件夹下生成一个名为“simpleP2P”的可执行文件</t>
  </si>
  <si>
    <t>1、运行成功</t>
  </si>
  <si>
    <t>mis与dell主机跑p2p跑不通，asus-2主机可以</t>
  </si>
  <si>
    <t>PCIe_SYS_AI_003</t>
  </si>
  <si>
    <t>开启ACS 跑开启ACS 跑p2pBandwidthLatencyTest</t>
  </si>
  <si>
    <t>1、BIOS的ACS功能使能时（或使能RC/RP/USP 的ACS）
2、至少2个NVIDIA 显卡、已安装cuda、nvidia-smi可用</t>
  </si>
  <si>
    <t>1、进入cuda 目录，/usr/local/cuda-11.4/samples/1_Utilities/p2pBandwidthLatencyTest
2、运行CUDA p2pBandwidthLatencyTest
3、查看运行结果及性能数据</t>
  </si>
  <si>
    <t>1、运行成功
2、在GPU设备查看数据写入成功、性能数据符合预期（延时增加）</t>
  </si>
  <si>
    <t>失败过一次，后续没有复现，研发看日志分析是卡槽接触问题导致。</t>
  </si>
  <si>
    <t>PCIe_SYS_AI_004</t>
  </si>
  <si>
    <t>关闭ACS，跑p2pBandwidthLatencyTest</t>
  </si>
  <si>
    <t>1、BIOS的ACS功能禁用（或禁用RC/RP/USP 的ACS）
2、至少2个NVIDIA 显卡
3、已安装cuda、nvidia-smi可用</t>
  </si>
  <si>
    <t>1、进入cuda 目录，/usr/local/cuda-11.4/samples/1_Utilities/p2pBandwidthLatencyTest
2、运行CUDA p2pBandwidthLatencyTest
3、 查看运行结果及性能数据</t>
  </si>
  <si>
    <t>1、运行成功
2、在GPU设备查看数据写入成功、性能数据符合预期（延时低）</t>
  </si>
  <si>
    <t>记录一下测试卡的型号</t>
  </si>
  <si>
    <t>PCIe_SYS_AI_005</t>
  </si>
  <si>
    <t>multicopy</t>
  </si>
  <si>
    <t>1、至少2个NVIDIA 显卡
2、已安装cuda、nvidia-smi可用</t>
  </si>
  <si>
    <t>1、进入cuda目录，cd /usr/local/cuda-11.4/samples/0_Simple/simpleMultiCopy
2、运行程序，./simpleMultiCopy</t>
  </si>
  <si>
    <t>1、运行成功
2、在GPU设备查看数据写入成功</t>
  </si>
  <si>
    <t>PCIe_SYS_AI_006</t>
  </si>
  <si>
    <t>bandwidth</t>
  </si>
  <si>
    <t>1、NVIDIA 显卡
2、已安装cuda、nvidia-smi可用</t>
  </si>
  <si>
    <t>1、进入cuda目录，cd /usr/local/cuda-11.4/samples/1_Utilities/bandwidthTest
2、运行程序，./bandwidthTest</t>
  </si>
  <si>
    <t>PCIe_SYS_AI_007</t>
  </si>
  <si>
    <t>station 内2个P2P
覆盖不同persistence mode/compute-mode/</t>
  </si>
  <si>
    <t>1、ACS功能关闭
2、NVIDIA 显卡，两张显卡接在同一stattion
3、已安装cuda、nvidia-smi可用</t>
  </si>
  <si>
    <t>1、进入cuda目录，cd /usr/local/cuda-11.4/samples/0_Simple/simpleP2P
2、运行程序，./simpleP2P</t>
  </si>
  <si>
    <t>PCIe_SYS_AI_008</t>
  </si>
  <si>
    <t>station 间P2P
覆盖不同persistence mode/compute-mode/</t>
  </si>
  <si>
    <t>1、ACS功能关闭
2、NVIDIA 显卡，两张显卡接在不同stattion
3、已安装cuda、nvidia-smi可用</t>
  </si>
  <si>
    <t>PCIe_SYS_AI_009</t>
  </si>
  <si>
    <t>station 内P2P + station间P2P
覆盖不同persistence mode/compute-mode/</t>
  </si>
  <si>
    <t>1、ACS功能关闭
2、NVIDIA 显卡（两张显卡接在同一stattion；两张显卡接在不同stattion）
3、已安装cuda、nvidia-smi可用</t>
  </si>
  <si>
    <t>PCIe_SYS_AI_010</t>
  </si>
  <si>
    <t>进阶：Glmark</t>
  </si>
  <si>
    <t>1、安装Glmark，测试图形3D显示，及图形渲染功能，运行10分钟</t>
  </si>
  <si>
    <t>1、测试结果不报错</t>
  </si>
  <si>
    <t>PCIe_SYS_AI_011</t>
  </si>
  <si>
    <t>1、安装Glxgear，测试GPU OpenGL性能和图形驱动程序的基本功能，运行10分钟</t>
  </si>
  <si>
    <t>1、运行成功，不报错</t>
  </si>
  <si>
    <t>PCIe_SYS_AI_012</t>
  </si>
  <si>
    <t>gpuburn 测试</t>
  </si>
  <si>
    <t>1、使用gpu_burn 测试 GPU</t>
  </si>
  <si>
    <t>PCIe_SYS_AI_013</t>
  </si>
  <si>
    <t>GPUTest 测试显卡显示功能</t>
  </si>
  <si>
    <t xml:space="preserve">1、NVIDIA 显卡
2、已安装cuda、nvidia-smi可用
</t>
  </si>
  <si>
    <t>1、进入测试程序目录，cd /home/sd/xums/GpuTest_Linux_x64_0.7.0 
2、执行程序，bash start_furmark_benchmark_fullscreen_1920x1080.sh</t>
  </si>
  <si>
    <t>PCIe_SYS_AI_014</t>
  </si>
  <si>
    <t>Unigine Superposition</t>
  </si>
  <si>
    <t xml:space="preserve">1、 安装 、/Unigine_Superposition-1、1、run 
2、 执行 /Unigine_Superposition-1、1/Superposition </t>
  </si>
  <si>
    <t>1、 所有测试用例预期结果正常，符合预期;
2、 关注FPS、gpu温度、显存占用，以及系统稳定性</t>
  </si>
  <si>
    <t>PCIe_SYS_AI_015</t>
  </si>
  <si>
    <t>NCCL</t>
  </si>
  <si>
    <t>1、进入测试程序目录，cd /home/sd/xums/nccl-test
2、执行程序，./build/all_reduce_perf -b 8 -e 256M -f 2 -g 2</t>
  </si>
  <si>
    <t>PCIe_SYS_AI_016</t>
  </si>
  <si>
    <t>FurMark</t>
  </si>
  <si>
    <t>1、nvidia 显卡、nvidia driver、cuda、FurMark软件</t>
  </si>
  <si>
    <t>1、三种demo的benchmark测试，较高的帧率（FPS）表示显卡性能较好，与竞品测试结果对比</t>
  </si>
  <si>
    <t>1、软件包正常安装，程序可以正常运行</t>
  </si>
  <si>
    <t>PCIe_SYS_AI_017</t>
  </si>
  <si>
    <t>matrixMul</t>
  </si>
  <si>
    <t>1、进入cuda目录，cd /usr/local/cuda-11.4/samples/0_Simple/matrixMul
2、执行测试程序，./matrixMul</t>
  </si>
  <si>
    <t>PCIe_SYS_AI_018</t>
  </si>
  <si>
    <t>cuda-z</t>
  </si>
  <si>
    <t>1、NVIDIA 显卡
2、已安装cuda、cuda-z、nvidia-smi可用</t>
  </si>
  <si>
    <t>PCIe_SYS_AI_019</t>
  </si>
  <si>
    <t>batchCUBLAS</t>
  </si>
  <si>
    <t>1、1个NVIDIA 显卡
2、已安装cuda、nvidia-smi可用，软件相关依赖包正确安装</t>
  </si>
  <si>
    <t>1、到/usr/local/cuda-11.4/路径下找到对应脚本
2、执行测试，查看测试结果
3、统计GPU整型、浮点型计算等主要性能指标，与竞品测试结果对比</t>
  </si>
  <si>
    <t>PCIe_SYS_AI_020</t>
  </si>
  <si>
    <t>AI：vegetables_tf2.3模型训练及测试单机多卡
覆盖不同persistence mode/compute-mode/</t>
  </si>
  <si>
    <t>1、至少2个NVIDIA 显卡
2、已安装cuda、nvidia-smi可用、
Anaconda， pytorch， tensorflow-gpu 等环境，</t>
  </si>
  <si>
    <t xml:space="preserve">1、conda activate gpu_test310
2、cd /home/sd/ai/vegetables_tf2.3-master
3、conda activate gpu_test310
4、./gpu_train.py 1 或者 python train_cnn.py; python train_mobilenet.py; python test_model.py
（1 表示压力测试多少次）
5、可以查看当前生成的log
</t>
  </si>
  <si>
    <t>1、训练及测试结果一样</t>
  </si>
  <si>
    <t>PCIe_SYS_AI_021</t>
  </si>
  <si>
    <t>deep-learning-for-image-processing-master模型训练及测试单机多卡
覆盖不同persistence mode/compute-mode/</t>
  </si>
  <si>
    <t>1、simpleP2P可以跑通
2、至少2个NVIDIA 显卡
3、已安装cuda、nvidia-smi可用、
Anaconda， pytorch， tensorflow-gpu 等环境</t>
  </si>
  <si>
    <t>1、conda activate gpu_test310
2、cd /home/sd/ai/deep-learning-for-image-processing-master/pytorch_segmentation/unet
3、time CUDA_VISIBLE_DEVICES=0,1 python -m torch.distributed.launch --nproc_per_node=2 --use_env train_multi_GPU.py --epochs=4</t>
  </si>
  <si>
    <t>PCIe_SYS_AI_022</t>
  </si>
  <si>
    <t>1、conda activate gpu_test310
2、cd /home/sd/ai/deep-learning-for-image-processing-master/pytorch_classification/train_multi_GPU
3、time CUDA_VISIBLE_DEVICES=0,1 python -m torch.distributed.launch --nproc_per_node=2 --use_env train_multi_gpu_using_launch.py --epochs=5</t>
  </si>
  <si>
    <t>PCIe_SYS_AI_023</t>
  </si>
  <si>
    <t>llama2/3</t>
  </si>
  <si>
    <t>1、8个NVIDIA 显卡
2、已安装cuda、nvidia-smi可用，大模型相关软件环境部署完成</t>
  </si>
  <si>
    <t>1、搭配硬件设备，运行大模型经典训练用例进行训练
2、训练完毕后，执行测试用例进行验证，覆盖 单卡，八卡场景</t>
  </si>
  <si>
    <t>PCIe_SYS_AI_024</t>
  </si>
  <si>
    <t>deepseek v2</t>
  </si>
  <si>
    <t>PCIe_SYS_AI_025</t>
  </si>
  <si>
    <t>MLPerf</t>
  </si>
  <si>
    <t>8个NVIDIA 显卡、已安装cuda、nvidia-smi可用，大模型相关软件环境部署完成</t>
  </si>
  <si>
    <t>搭配硬件设备，运行大模型经典训练用例进行训练，训练完毕后，执行测试用例进行验证，覆盖 单卡，八卡场景</t>
  </si>
  <si>
    <t>预期结果：
训练及测试结果一样</t>
  </si>
  <si>
    <t>比较难搭建，搭建中，后续有时间再调研；已验证llama2/3、deepseek v2。</t>
  </si>
  <si>
    <t>PCIe_SYS_AI_026</t>
  </si>
  <si>
    <t>NIC+FIO+GPU</t>
  </si>
  <si>
    <t>1、NVIDIA 显卡
2、已安装cuda、nvidia-smi可用，Gpuburn、fio安装完成，netperf安装，EP数量不作要求</t>
  </si>
  <si>
    <t>1、Gpuburn+netperf+fio（最少4个盘，4个显卡）</t>
  </si>
  <si>
    <t>1、测试程序跑10分钟，无报错</t>
  </si>
  <si>
    <t>PCIe_SYS_AI_027</t>
  </si>
  <si>
    <t>NIC+GPU</t>
  </si>
  <si>
    <t>1、NVIDIA 显卡
2、已安装cuda、nvidia-smi可用，Gpuburn、netperf安装完成，EP数量不作要求</t>
  </si>
  <si>
    <t>1、Gpuburn+netperf（增加显卡数量）</t>
  </si>
  <si>
    <t>PCIe_SYS_AI_028</t>
  </si>
  <si>
    <t>FIO+GPU</t>
  </si>
  <si>
    <t>PCIe_SYS_AI_029</t>
  </si>
  <si>
    <t>多Switch：2个switch独立+NIC</t>
  </si>
  <si>
    <t>1、硬件连接正常
2、NVIDIA 显卡
3、已安装cuda、nvidia-smi可用</t>
  </si>
  <si>
    <t>1、2个switch分别连接服务器的两个CPU
2、8个AIC类型GPU，如nvidia 4090，两个NIC
3、每个switch下面挂4个GPU，一个NIC</t>
  </si>
  <si>
    <t>1、运行可以用到nic的AI大模型训练，尽量贴近实际应用场景，跑1小时无异常（如果搞不了训练环境，就组合模式，nccl跨机通信用nic，然后再加上单机多卡训练的case）</t>
  </si>
  <si>
    <t>暂没有部署运用nic的大模型，3个4090显卡跑nccl+nic打流</t>
  </si>
  <si>
    <t>PCIe_SYS_AI_030</t>
  </si>
  <si>
    <t>2个switch级联</t>
  </si>
  <si>
    <t>1、8个AIC类型GPU，例如4090
2、2个switch，每个switch下面挂4个GPU，两个switch级联</t>
  </si>
  <si>
    <t>1、运行AI大模型训练，尽量贴近实际应用场景，跑10分钟无异常</t>
  </si>
  <si>
    <t>环境限制，就接了两个T4显卡，功能没有问题</t>
  </si>
  <si>
    <t>PCIe_SYS_AI_031</t>
  </si>
  <si>
    <t>2个switch独立</t>
  </si>
  <si>
    <t>1、2个switch分别连接服务器的两个CPU
2、8个AIC类型GPU，例如4090
3、2个switch独立，每个switch下面挂4个GPU，</t>
  </si>
  <si>
    <t>环境限制，就接了两个4090显卡，功能没有问题</t>
  </si>
  <si>
    <t>PCIe_SYS_AI_032</t>
  </si>
  <si>
    <t>2个switch独立中间crosslink连接</t>
  </si>
  <si>
    <t>1、2个switch分别连接服务器的两个CPU
2、8个AIC类型GPU，例如4090
3、2个switch，每个switch下面挂4个GPU，两个switch独立中间crosslink连接</t>
  </si>
  <si>
    <t>crosslink en</t>
  </si>
  <si>
    <t>PCIe_SYS_AI_033</t>
  </si>
  <si>
    <t>多机通信，2个switch独立</t>
  </si>
  <si>
    <t>1、2个switch分别连接服务器的两个CPU，多机通信
2、16个AIC类型GPU，中间网卡互联
3、2个switch独立，每个switch挂8个GPU，1个NIC</t>
  </si>
  <si>
    <t>PCIe_SYS_AI_034</t>
  </si>
  <si>
    <t>4个switch，单上行</t>
  </si>
  <si>
    <t>硬件连接正常，NVIDIA 显卡、已安装cuda、nvidia-smi可用</t>
  </si>
  <si>
    <t>每个switch一个USP，两个switch连接CPU0，另两个switch连接CPU1，4个switch，，每个switch下面一个nvme，一个gpu，一个nic，共需要4个OAM类型GPU，比如昆仑芯，4个NIC，4个NVME</t>
  </si>
  <si>
    <t>运行AI大模型训练，尽量贴近实际应用场景，跑10分钟无异常</t>
  </si>
  <si>
    <t>已验证过2个switch，4个switch 暂时不验证</t>
  </si>
  <si>
    <t>PCIe_SYS_AI_035</t>
  </si>
  <si>
    <t>扩充：GDR 与GDS技术验证</t>
  </si>
  <si>
    <t>1、支持GDR技术的GPU
2、EP数量：1个gpu，1个ssd，1个nic</t>
  </si>
  <si>
    <t>1、搭建GDR与GDS软硬件测试环境
2、环境搭建好，运行AI训练模型一小时。</t>
  </si>
  <si>
    <t>1、GDR与GDS环境可以搭建成功
2、运行可以用到nic的AI大模型训练，尽量贴近实际应用场景，再+fio压测，跑1小时无异常（如果搞不了训练环境，就组合模式，nccl跨机通信用nic，然后再加上单机多卡训练的case）</t>
  </si>
  <si>
    <t>之前使用T4搭建后不可用；后续使用新到的4090搭建；
木水</t>
  </si>
  <si>
    <t>PCIe_SYS_AI_036</t>
  </si>
  <si>
    <t>MIG技术支持</t>
  </si>
  <si>
    <t>1、创建VGPU，添加到虚拟机，安装VGPU驱动，nvidia-smi查看VGPU资源</t>
  </si>
  <si>
    <t>1、nvidia-smi在虚拟机里，可以正常查看VGPU信息，资源分配符合分配情况</t>
  </si>
  <si>
    <t>目前确认T4显卡不支持MIG；4090不支持。</t>
  </si>
  <si>
    <t>测试项描述</t>
  </si>
  <si>
    <t>SPI0 Status</t>
  </si>
  <si>
    <t>SPI0 JIRA</t>
  </si>
  <si>
    <t>SPI1 Status</t>
  </si>
  <si>
    <t>SPI1 JIRA</t>
  </si>
  <si>
    <t>SYS_PBL_NORMAL_001</t>
  </si>
  <si>
    <t>SPI 普通模式最高优启动
SPI-SCPHL00-4B-INFO-BAUD0-4F</t>
  </si>
  <si>
    <t>flash 兼容性支持 - 研发
国产化支持
同步博通 MICRO</t>
  </si>
  <si>
    <t>三款，和flash相关的。</t>
  </si>
  <si>
    <t>SYS_PBL_NORMAL_002</t>
  </si>
  <si>
    <t>SPI 普通模式最高优启动
SPI-SCPHL00-3B-INFO-BAUD0-4F</t>
  </si>
  <si>
    <t>SYS_PBL_NORMAL_003</t>
  </si>
  <si>
    <t>SPI 普通模式最高优启动
SPI-SCPHL11-4B-INFO-BAUD0-4F</t>
  </si>
  <si>
    <t>SPI0 正常启动总数</t>
  </si>
  <si>
    <t>SPI0 加密normal启动总数</t>
  </si>
  <si>
    <t>SPI0 加密user启动总数</t>
  </si>
  <si>
    <t>SPI0 加密chip启动总数</t>
  </si>
  <si>
    <t>SPI0 PBL异常启动总数</t>
  </si>
  <si>
    <t>SPI0 PBL加密异常启动总数</t>
  </si>
  <si>
    <t>SPI0 PBL CUSTOMER加密异常启动总数</t>
  </si>
  <si>
    <t>SYS_PBL_NORMAL_004</t>
  </si>
  <si>
    <t>SPI 普通模式最快模式
QSPI-SCPHL00-4B-INFO-BAUD0-4F</t>
  </si>
  <si>
    <t>SPI0 正常启动 PASS</t>
  </si>
  <si>
    <t>SPI0 加密normal启动 PASS</t>
  </si>
  <si>
    <t>SPI0 加密user启动 PASS</t>
  </si>
  <si>
    <t>SPI0 加密chip启动 PASS</t>
  </si>
  <si>
    <t>SPI0 PBL异常启动 PASS</t>
  </si>
  <si>
    <t>SPI0 PBL加密异常启动 PASS</t>
  </si>
  <si>
    <t>SPI0 PBL CUSTOMER加密异常启动 PASS</t>
  </si>
  <si>
    <t>SYS_PBL_NORMAL_005</t>
  </si>
  <si>
    <t>SPI 普通模式最快模式
QSPI-SCPHL11-4B-INFO-BAUD0-4F</t>
  </si>
  <si>
    <t>SPI0 正常启动 Fail</t>
  </si>
  <si>
    <t>SPI0 加密normal启动 Fail</t>
  </si>
  <si>
    <t>SPI0 加密user启动 Fail</t>
  </si>
  <si>
    <t>SPI0 加密chip启动 Fail</t>
  </si>
  <si>
    <t>SPI0 PBL异常启动 Fail</t>
  </si>
  <si>
    <t>SPI0 PBL加密异常启动 Fail</t>
  </si>
  <si>
    <t>SPI0 PBL CUSTOMER加密异常启动 Fail</t>
  </si>
  <si>
    <t>SYS_PBL_NORMAL_006</t>
  </si>
  <si>
    <t>SPI 普通模式最快模式
QSPI-SCPHL11-3B-INFO-BAUD0-4F</t>
  </si>
  <si>
    <t>SPI0 正常启动 未测试</t>
  </si>
  <si>
    <t>SPI0 加密normal启动 未测试</t>
  </si>
  <si>
    <t>SPI0 加密user启动 未测试</t>
  </si>
  <si>
    <t>SPI0 加密chip启动 未测试</t>
  </si>
  <si>
    <t>SPI0 PBL异常启动 未测试</t>
  </si>
  <si>
    <t>SPI0 PBL加密异常启动 未测试</t>
  </si>
  <si>
    <t>SPI0 PBL CUSTOMER加密异常启动 未测试</t>
  </si>
  <si>
    <t>SYS_PBL_NORMAL_007</t>
  </si>
  <si>
    <t>SPI 普通模式
QSPI-SCPHL00-4B-INFO-BAUD0-8F</t>
  </si>
  <si>
    <t>SPI1 正常启动总数</t>
  </si>
  <si>
    <t>SPI1 加密normal启动总数</t>
  </si>
  <si>
    <t>SPI1 加密user启动总数</t>
  </si>
  <si>
    <t>SPI1 加密chip启动总数</t>
  </si>
  <si>
    <t>SPI1 PBL异常启动总数</t>
  </si>
  <si>
    <t>SPI1 PBL加密异常启动总数</t>
  </si>
  <si>
    <t>SPI1 PBL CUSTOMER加密异常启动总数</t>
  </si>
  <si>
    <t>SYS_PBL_NORMAL_008</t>
  </si>
  <si>
    <t>SPI 普通模式最快模式
QSPI-SCPHL11-4B-INFO-BAUD0-8F</t>
  </si>
  <si>
    <t>SPI1 正常启动 PASS</t>
  </si>
  <si>
    <t>SPI1 加密normal启动 PASS</t>
  </si>
  <si>
    <t>SPI1 加密user启动 PASS</t>
  </si>
  <si>
    <t>SPI1 加密chip启动 PASS</t>
  </si>
  <si>
    <t>SPI1 PBL异常启动 PASS</t>
  </si>
  <si>
    <t>SPI1 PBL加密异常启动 PASS</t>
  </si>
  <si>
    <t>SPI1 PBL CUSTOMER加密异常启动 PASS</t>
  </si>
  <si>
    <t>SYS_PBL_NORMAL_009</t>
  </si>
  <si>
    <t>SPI 普通模式
SPI-SCPHL00-4B-INFO-BAUD0-8F</t>
  </si>
  <si>
    <t>SPI1 正常启动  Fail</t>
  </si>
  <si>
    <t>SPI1 加密normal启动  Fail</t>
  </si>
  <si>
    <t>SPI1 加密user启动  Fail</t>
  </si>
  <si>
    <t>SPI1 加密chip启动  Fail</t>
  </si>
  <si>
    <t>SPI1 PBL异常启动  Fail</t>
  </si>
  <si>
    <t>SPI1 PBL加密异常启动  Fail</t>
  </si>
  <si>
    <t>SPI1 PBL CUSTOMER加密异常启动  Fail</t>
  </si>
  <si>
    <t>SYS_PBL_NORMAL_010</t>
  </si>
  <si>
    <t>SPI 普通模式最慢模式
SPI-SCPHL00-4B-INFO-BAUD1-8F</t>
  </si>
  <si>
    <t>SYS_PBL_NORMAL_011</t>
  </si>
  <si>
    <t>SPI 普通模式最慢模式
SPI-SCPHL11-3B-INFO-BAUD1-8F</t>
  </si>
  <si>
    <t>SYS_PBL_NORMAL_012</t>
  </si>
  <si>
    <t>SPI 普通模式
SPI-SCPHL00-4B-INFO-BAUD1-4Freq</t>
  </si>
  <si>
    <t>SYS_PBL_NORMAL_013</t>
  </si>
  <si>
    <t>SPI 普通模式
SPI-SCPHL11-3B-INFO-BAUD1-4Fre</t>
  </si>
  <si>
    <t>SYS_PBL_NORMAL_014</t>
  </si>
  <si>
    <t>SPI 普通模式
QSPI-SCPHL00-4B-INFO-BAUD1-8F</t>
  </si>
  <si>
    <t>SYS_PBL_NORMAL_015</t>
  </si>
  <si>
    <t>SPI 普通模式
QSPI-SCPHL11-4B-INFO-BAUD1-8F</t>
  </si>
  <si>
    <t>SYS_PBL_NORMAL_016</t>
  </si>
  <si>
    <t>SPI 普通模式
QSPI-SCPHL00-4B-INFO-BAUD1-4F</t>
  </si>
  <si>
    <t>SYS_PBL_NORMAL_017</t>
  </si>
  <si>
    <t>SPI 普通模式
QSPI-SCPHL11-4B-INFO-BAUD1-4F</t>
  </si>
  <si>
    <t>总数</t>
  </si>
  <si>
    <t>SYS_PBL_NORMAL_018</t>
  </si>
  <si>
    <t>SPI 普通模式最高优启动
SPI-SCPHL00-4B-INFO-BAUD0-4F-SPL1</t>
  </si>
  <si>
    <t>SYS_PBL_NORMAL_019</t>
  </si>
  <si>
    <t>SPI 普通模式最快模式
QSPI-SCPHL00-4B-INFO-BAUD0-4F-SPL1</t>
  </si>
  <si>
    <t>SYS_PBL_NORMAL_020</t>
  </si>
  <si>
    <t>SPI 普通模式最高优启动最大SPL
SPI-SCPHL00-4B-INFO-BAUD0-4F-LIMIT</t>
  </si>
  <si>
    <t>未测试(NT)</t>
  </si>
  <si>
    <t>SYS_PBL_NORMAL_021</t>
  </si>
  <si>
    <t>SPI 普通模式最快模式最大SPL
QSPI-SCPHL00-4B-INFO-BAUD0-4F-LIMIT</t>
  </si>
  <si>
    <t>不做测试， 不在总数里</t>
  </si>
  <si>
    <t>SPI0 security-normal Status</t>
  </si>
  <si>
    <t>SPI1 security-normal Status</t>
  </si>
  <si>
    <t>SPI0 security-user Status</t>
  </si>
  <si>
    <t>SPI1 security-user Status</t>
  </si>
  <si>
    <t>SPI0 security-chip Status</t>
  </si>
  <si>
    <t>SPI1 security-chip Status</t>
  </si>
  <si>
    <t>SYS_PBL_ENC_001</t>
  </si>
  <si>
    <t>SPI 安全模式最高优启动
SPI-SCPHL00-4B-INFO-BAUD0-4F</t>
  </si>
  <si>
    <t>SYS_PBL_ENC_002</t>
  </si>
  <si>
    <t>SPI 安全模式最高优启动
SPI-SCPHL00-3B-INFO-BAUD0-4F</t>
  </si>
  <si>
    <t>SYS_PBL_ENC_003</t>
  </si>
  <si>
    <t>SPI 安全模式最高优启动
SPI-SCPHL11-4B-INFO-BAUD0-4F</t>
  </si>
  <si>
    <t>SYS_PBL_ENC_004</t>
  </si>
  <si>
    <t>SPI 安全模式最快模式
QSPI-SCPHL00-4B-INFO-BAUD0-4F</t>
  </si>
  <si>
    <t>SYS_PBL_ENC_005</t>
  </si>
  <si>
    <t>SPI 安全模式最快模式
QSPI-SCPHL11-4B-INFO-BAUD0-4F</t>
  </si>
  <si>
    <t>SYS_PBL_ENC_006</t>
  </si>
  <si>
    <t>SPI 安全模式最快模式
QSPI-SCPHL11-3B-INFO-BAUD0-4F</t>
  </si>
  <si>
    <t>SYS_PBL_ENC_007</t>
  </si>
  <si>
    <t>SPI 安全模式
QSPI-SCPHL00-4B-INFO-BAUD0-8F</t>
  </si>
  <si>
    <t>SYS_PBL_ENC_008</t>
  </si>
  <si>
    <t>SPI 安全模式最快模式
QSPI-SCPHL11-4B-INFO-BAUD0-8F</t>
  </si>
  <si>
    <t>SYS_PBL_ENC_009</t>
  </si>
  <si>
    <t>SPI 安全模式
SPI-SCPHL00-4B-INFO-BAUD0-8F</t>
  </si>
  <si>
    <t>SYS_PBL_ENC_010</t>
  </si>
  <si>
    <t>SPI 安全模式最慢模式
SPI-SCPHL00-4B-INFO-BAUD1-8F</t>
  </si>
  <si>
    <t>SYS_PBL_ENC_011</t>
  </si>
  <si>
    <t>SPI 安全模式最慢模式
SPI-SCPHL11-3B-INFO-BAUD1-8F</t>
  </si>
  <si>
    <t>SYS_PBL_ENC_012</t>
  </si>
  <si>
    <t>SPI 安全模式
SPI-SCPHL00-4B-INFO-BAUD1-4Freq</t>
  </si>
  <si>
    <t>SYS_PBL_ENC_013</t>
  </si>
  <si>
    <t>SPI 安全模式
SPI-SCPHL11-3B-INFO-BAUD1-4Fre</t>
  </si>
  <si>
    <t>SYS_PBL_ENC_014</t>
  </si>
  <si>
    <t>SPI 安全模式
QSPI-SCPHL00-4B-INFO-BAUD1-8F</t>
  </si>
  <si>
    <t>SYS_PBL_ENC_015</t>
  </si>
  <si>
    <t>SPI 安全模式
QSPI-SCPHL11-4B-INFO-BAUD1-8F</t>
  </si>
  <si>
    <t>SYS_PBL_ENC_016</t>
  </si>
  <si>
    <t>SPI 安全模式
QSPI-SCPHL00-4B-INFO-BAUD1-4F</t>
  </si>
  <si>
    <t>SYS_PBL_ENC_017</t>
  </si>
  <si>
    <t>SPI 安全模式
QSPI-SCPHL11-4B-INFO-BAUD1-4F</t>
  </si>
  <si>
    <t>SYS_PBL_ENC_018</t>
  </si>
  <si>
    <t>SPI 安全模式最高优启动SPL1
SPI-SCPHL00-4B-INFO-BAUD0-4F-SPL1</t>
  </si>
  <si>
    <t>SYS_PBL_ENC_019</t>
  </si>
  <si>
    <t>SPI 安全模式最快模式SPL1
QSPI-SCPHL00-4B-INFO-BAUD0-4F-SPL1</t>
  </si>
  <si>
    <t>SYS_PBL_ENC_020</t>
  </si>
  <si>
    <t>SPI 安全模式最高优启动最大SPL
SPI-SCPHL00-4B-INFO-BAUD0-4F-limit</t>
  </si>
  <si>
    <t>SYS_PBL_ENC_021</t>
  </si>
  <si>
    <t>SPI 安全模式最快模式最大SPL
QSPI-SCPHL00-4B-INFO-BAUD0-4F-limit</t>
  </si>
  <si>
    <t>SYS_PBL_ENC_022</t>
  </si>
  <si>
    <t>SPI 安全模式最高优启动自检
SPI-SCPHL00-4B-INFO-BAUD0-4F-SELF-TEST</t>
  </si>
  <si>
    <t>SYS_PBL_EXCETP_001</t>
  </si>
  <si>
    <t>SPI 普通模式， IMAGE HEADER的SPL0 分区表part_id非预期值， SPL1分区正常</t>
  </si>
  <si>
    <t>SYS_PBL_EXCETP_002</t>
  </si>
  <si>
    <t>SPI 普通模式， IMAGE HEADER的SPL0 分区表addr超过8M(&gt;=0X800000)， SPL1分区正常</t>
  </si>
  <si>
    <t>SYS_PBL_EXCETP_003</t>
  </si>
  <si>
    <t>SPI 普通模式， IMAGE HEADER的SPL0 分区表size 为0， SPL1分区正常</t>
  </si>
  <si>
    <t>程序不会处理，可以忽略</t>
  </si>
  <si>
    <t>SYS_PBL_EXCETP_004</t>
  </si>
  <si>
    <t>SPI 普通模式， IMAGE HEADER的SPL0 分区表size 超过8M(&gt;=0X800000)， SPL1分区正常</t>
  </si>
  <si>
    <t>SYS_PBL_EXCETP_005</t>
  </si>
  <si>
    <t>SPI 普通模式， IMAGE HEADER的SPL0&amp;1 分区表part_id非预期值</t>
  </si>
  <si>
    <t>SYS_PBL_EXCETP_006</t>
  </si>
  <si>
    <t>SPI 普通模式， IMAGE HEADER的SPL0&amp;1 分区表addr 超过8M(&gt;=0X800000)</t>
  </si>
  <si>
    <t>SYS_PBL_EXCETP_007</t>
  </si>
  <si>
    <t>SPI 普通模式， IMAGE HEADER的SPL0&amp;1 分区表size 为0</t>
  </si>
  <si>
    <t>SYS_PBL_EXCETP_008</t>
  </si>
  <si>
    <t>SPI 普通模式， IMAGE HEADER的SPL0&amp;1 分区表size 超过8M(&gt;=0X800000)</t>
  </si>
  <si>
    <t>SYS_PBL_EXCETP_009</t>
  </si>
  <si>
    <t>SPI 普通模式， SPL0 分区数据表头ID 非预期值， SPL1分区正常</t>
  </si>
  <si>
    <t>SYS_PBL_EXCETP_010</t>
  </si>
  <si>
    <t>SPI 普通模式， SPL0 分区数据表头load_addr为超过8M(&gt;=0X800000)， SPL1分区正常</t>
  </si>
  <si>
    <t>SYS_PBL_EXCETP_011</t>
  </si>
  <si>
    <t>SPI 普通模式， SPL0 分区数据表头entry_point为超过8M(&gt;=0X800000)， SPL1分区正常</t>
  </si>
  <si>
    <t>SYS_PBL_EXCETP_012</t>
  </si>
  <si>
    <t>SPI 普通模式， SPL0分区数据表头size为0</t>
  </si>
  <si>
    <t>SYS_PBL_EXCETP_013</t>
  </si>
  <si>
    <t>SPI 普通模式， SPL0分区数据表头size超过8M(&gt;=0X800000)</t>
  </si>
  <si>
    <t>SYS_PBL_EXCETP_014</t>
  </si>
  <si>
    <t>SPI 普通模式， SPL0分区数据表头sign_type 非预期值</t>
  </si>
  <si>
    <t>SYS_PBL_EXCETP_015</t>
  </si>
  <si>
    <t>SPI 普通模式， SPL0分区数据表头encrypt_type 非预期值</t>
  </si>
  <si>
    <t>SYS_PBL_EXCETP_016</t>
  </si>
  <si>
    <t>SPI 普通模式， SPL0 分区数据表头head_crc错误， SPL1分区正常</t>
  </si>
  <si>
    <t>SYS_PBL_EXCETP_017</t>
  </si>
  <si>
    <t>SPI 普通模式， SPL0 分区数据表头data_crc， SPL1分区正常</t>
  </si>
  <si>
    <t> </t>
  </si>
  <si>
    <t>SYS_PBL_EXCETP_018</t>
  </si>
  <si>
    <t>SPI 普通模式， SPL0&amp;1 分区数据表头ID 非预期值</t>
  </si>
  <si>
    <t>SYS_PBL_EXCETP_019</t>
  </si>
  <si>
    <t>SPI 普通模式， SPL0&amp;1 分区数据表头load_addr为超过8M(&gt;=0X800000)</t>
  </si>
  <si>
    <t>SYS_PBL_EXCETP_020</t>
  </si>
  <si>
    <t>SPI 普通模式， SPL0&amp;1 分区数据表头entry_point为超过8M(&gt;=0X800000)</t>
  </si>
  <si>
    <t>SYS_PBL_EXCETP_021</t>
  </si>
  <si>
    <t>SPI 普通模式， SPL0&amp;1分区数据表头size为0</t>
  </si>
  <si>
    <t>SYS_PBL_EXCETP_022</t>
  </si>
  <si>
    <t>SPI 普通模式， SPL0&amp;1分区数据表头size超过8M(&gt;=0X800000)</t>
  </si>
  <si>
    <t>SYS_PBL_EXCETP_023</t>
  </si>
  <si>
    <t>SPI 普通模式， SPL0&amp;1分区数据表头sign_type 非预期值</t>
  </si>
  <si>
    <t>SYS_PBL_EXCETP_024</t>
  </si>
  <si>
    <t>SPI 普通模式， SPL0&amp;1分区数据表头encrypt_type 非预期值</t>
  </si>
  <si>
    <t>SYS_PBL_EXCETP_025</t>
  </si>
  <si>
    <t>SPI 普通模式， SPL0&amp;1 分区数据表头head_crc错误， SPL1分区正常</t>
  </si>
  <si>
    <t>SYS_PBL_EXCETP_026</t>
  </si>
  <si>
    <t>SPI 普通模式， SPL0&amp;1 分区数据表头data_crc， SPL1分区正常</t>
  </si>
  <si>
    <t>8.16 8.17</t>
  </si>
  <si>
    <t>customer
SPI1 Status</t>
  </si>
  <si>
    <t>SYS_PBL_ENC_EXCETP_001</t>
  </si>
  <si>
    <t>SPI 加密模式， IMAGE HEADER的SPL0 分区表part_id非预期值， SPL1分区正常</t>
  </si>
  <si>
    <t>SYS_PBL_ENC_EXCETP_002</t>
  </si>
  <si>
    <t>SPI 加密模式， IMAGE HEADER的SPL0 分区表addr超过8M(&gt;=0X800000)， SPL1分区正常</t>
  </si>
  <si>
    <t>SYS_PBL_ENC_EXCETP_003</t>
  </si>
  <si>
    <t>SPI 加密模式， IMAGE HEADER的SPL0 分区表size 为0， SPL1分区正常</t>
  </si>
  <si>
    <t>SYS_PBL_ENC_EXCETP_004</t>
  </si>
  <si>
    <t>SPI 加密模式， IMAGE HEADER的SPL0 分区表size 超过8M(&gt;=0X800000)， SPL1分区正常</t>
  </si>
  <si>
    <t>SYS_PBL_ENC_EXCETP_005</t>
  </si>
  <si>
    <t>SPI 加密模式， IMAGE HEADER的SPL0&amp;1 分区表part_id非预期值</t>
  </si>
  <si>
    <t>SYS_PBL_ENC_EXCETP_006</t>
  </si>
  <si>
    <t>SPI 加密模式， IMAGE HEADER的SPL0&amp;1 分区表addr 超过8M(&gt;=0X800000)</t>
  </si>
  <si>
    <t>SYS_PBL_ENC_EXCETP_007</t>
  </si>
  <si>
    <t>SPI 加密模式， IMAGE HEADER的SPL0&amp;1 分区表size 为0</t>
  </si>
  <si>
    <t>SYS_PBL_ENC_EXCETP_008</t>
  </si>
  <si>
    <t>SPI 加密模式， IMAGE HEADER的SPL0&amp;1 分区表size 超过8M(&gt;=0X800000)</t>
  </si>
  <si>
    <t>SYS_PBL_ENC_EXCETP_009</t>
  </si>
  <si>
    <t>SPI 加密模式， SPL0 分区数据表头ID 非预期值， SPL1分区正常</t>
  </si>
  <si>
    <t>SYS_PBL_ENC_EXCETP_010</t>
  </si>
  <si>
    <t>SPI 加密模式， SPL0 分区数据表头load_addr为超过8M(&gt;=0X800000)， SPL1分区正常</t>
  </si>
  <si>
    <t>SYS_PBL_ENC_EXCETP_011</t>
  </si>
  <si>
    <t>SPI 加密模式， SPL0 分区数据表头entry_point为超过8M(&gt;=0X800000)， SPL1分区正常</t>
  </si>
  <si>
    <t>SYS_PBL_ENC_EXCETP_012</t>
  </si>
  <si>
    <t>SPI 加密模式， SPL0分区数据表头size为0</t>
  </si>
  <si>
    <t>SYS_PBL_ENC_EXCETP_013</t>
  </si>
  <si>
    <t>SPI 加密模式， SPL0分区数据表头size超过8M(&gt;=0X800000)</t>
  </si>
  <si>
    <t>SYS_PBL_ENC_EXCETP_014</t>
  </si>
  <si>
    <t>SPI 加密模式， SPL0分区数据表头sign_type 非预期值</t>
  </si>
  <si>
    <t>SYS_PBL_ENC_EXCETP_015</t>
  </si>
  <si>
    <t>SPI 加密模式， SPL0分区数据表头encrypt_type 非预期值</t>
  </si>
  <si>
    <t>SYS_PBL_ENC_EXCETP_016</t>
  </si>
  <si>
    <t>SPI 加密模式， SPL0 分区数据表头head_crc错误， SPL1分区正常</t>
  </si>
  <si>
    <t>SYS_PBL_ENC_EXCETP_017</t>
  </si>
  <si>
    <t>SPI 加密模式， SPL0 分区数据表头data_crc， SPL1分区正常</t>
  </si>
  <si>
    <t>SYS_PBL_ENC_EXCETP_018</t>
  </si>
  <si>
    <t>SPI 加密模式， SPL0&amp;1 分区数据表头ID 非预期值</t>
  </si>
  <si>
    <t>SYS_PBL_ENC_EXCETP_019</t>
  </si>
  <si>
    <t>SPI 加密模式， SPL0&amp;1 分区数据表头load_addr为超过8M(&gt;=0X800000)</t>
  </si>
  <si>
    <t>SYS_PBL_ENC_EXCETP_020</t>
  </si>
  <si>
    <t>SPI 加密模式， SPL0&amp;1 分区数据表头entry_point为超过8M(&gt;=0X800000)</t>
  </si>
  <si>
    <t>SYS_PBL_ENC_EXCETP_021</t>
  </si>
  <si>
    <t>SPI 加密模式， SPL0&amp;1分区数据表头size为0</t>
  </si>
  <si>
    <t>SYS_PBL_ENC_EXCETP_022</t>
  </si>
  <si>
    <t>SPI 加密模式， SPL0&amp;1分区数据表头size超过8M(&gt;=0X800000)</t>
  </si>
  <si>
    <t>SYS_PBL_ENC_EXCETP_023</t>
  </si>
  <si>
    <t>SPI 加密模式， SPL0&amp;1分区数据表头sign_type 非预期值</t>
  </si>
  <si>
    <t>SYS_PBL_ENC_EXCETP_024</t>
  </si>
  <si>
    <t>SPI 加密模式， SPL0&amp;1分区数据表头encrypt_type 非预期值</t>
  </si>
  <si>
    <t>SYS_PBL_ENC_EXCETP_025</t>
  </si>
  <si>
    <t>SPI 加密模式， SPL0&amp;1 分区数据表头head_crc错误， SPL1分区正常</t>
  </si>
  <si>
    <t>SYS_PBL_ENC_EXCETP_026</t>
  </si>
  <si>
    <t>SPI 加密模式， SPL0&amp;1 分区数据表头data_crc， SPL1分区正常</t>
  </si>
  <si>
    <t>普通正常启动</t>
  </si>
  <si>
    <t>加密customer</t>
  </si>
  <si>
    <t>加密chip</t>
  </si>
  <si>
    <t>8'b0000 0001，bit0=1，剩余7M 空间</t>
  </si>
  <si>
    <t>8'b0000 0011，bit0=1 和 bit1=1，剩余6M 空间</t>
  </si>
  <si>
    <t>8'b0000 0111，以此类推，剩余5M 空间</t>
  </si>
  <si>
    <t>8'b0000 1111，以此类推，剩余4M 空间</t>
  </si>
  <si>
    <t>8'b0001 1111，以此类推，剩余3M 空间</t>
  </si>
  <si>
    <t>8'b0011 1111，以此类推，剩余2M 空间</t>
  </si>
  <si>
    <t>8'b0111 1111，以此类推，剩余1M 空间</t>
  </si>
  <si>
    <t>8'b1111 1111，以此类推，剩余0M 空间</t>
  </si>
  <si>
    <t>ECC测试</t>
  </si>
  <si>
    <t>yundu_asic.elf</t>
  </si>
  <si>
    <t>yundu_asic_gen1.elf</t>
  </si>
  <si>
    <t>yundu_asic_base_20240920 gen3</t>
  </si>
  <si>
    <t>PCIe_SYS_Compatibility_001</t>
  </si>
  <si>
    <t>验证SW核心组件对主机的兼容性</t>
  </si>
  <si>
    <t>依据实际采购设备验证</t>
  </si>
  <si>
    <t>1、SW识别、EP建链枚举、核心组件驱动安装卸载、核心组件功能、压力测试;
2、在不同的CPU和操作系统下接switch，接不同接口外设</t>
  </si>
  <si>
    <t>1、所有测试用例预期结果正常，符合预期;
2、SW核心组件功能正常</t>
  </si>
  <si>
    <t>PCIe_SYS_Compatibility_002</t>
  </si>
  <si>
    <t>设备兼容性测试</t>
  </si>
  <si>
    <t>GeForce GT 710显卡</t>
  </si>
  <si>
    <t>1、将switch接到主机上，接GT 710显卡
2、检测设备状态是否正常
3、运行相关测试程序（Glmark、Glxgear，gpu_burn）</t>
  </si>
  <si>
    <t>1、设备可以正常枚举建链、驱动加载正常、链路宽度和速率符合设定，
2 测试程序运行正常</t>
  </si>
  <si>
    <t>FW：yundu_asic_gen1_0829_removed_nvme版本 
Host：DELL主机</t>
  </si>
  <si>
    <t>PCIe_SYS_Compatibility_003</t>
  </si>
  <si>
    <t>GT210显卡</t>
  </si>
  <si>
    <t>1、将switch接到主机上，接GT 210显卡
2、检测设备状态是否正常
3、运行相关测试程序（Glmark、Glxgear，gpu_burn）</t>
  </si>
  <si>
    <t>PCIe_SYS_Compatibility_004</t>
  </si>
  <si>
    <t>RX550 4GD5 显卡</t>
  </si>
  <si>
    <t>1、将switch接到主机上，接RX550 4GD5 显卡
2、检测设备状态是否正常
3、运行相关测试程序（Glmark、Glxgear，gpu_burn）</t>
  </si>
  <si>
    <t>MSI-3上测试失败 MSI-1测试识别</t>
  </si>
  <si>
    <t>PCIe_SYS_Compatibility_005</t>
  </si>
  <si>
    <t>R5220显卡</t>
  </si>
  <si>
    <t>1、将switch接到主机上，接R5220显卡
2、检测设备状态是否正常
3、运行相关测试程序（Glmark、Glxgear，gpu_burn，p2pBandwidthLatencyTest、bandwidthTest、simpleMultiCopy）</t>
  </si>
  <si>
    <t>smi主机无法启动</t>
  </si>
  <si>
    <t>PCIe_SYS_Compatibility_006</t>
  </si>
  <si>
    <t>NVIDIA TESLA T4</t>
  </si>
  <si>
    <t>1、将switch接到主机上，接NVIDIA TESLA T4
2、检测设备状态是否正常
3、运行相关测试程序（Glmark、Glxgear，gpu_burn，p2pBandwidthLatencyTest、bandwidthTest、simpleMultiCopy）</t>
  </si>
  <si>
    <t>DSP Gen2不识别；GEN1可以识别；
Gen3必现不识别；</t>
  </si>
  <si>
    <t>PCIe_SYS_Compatibility_007</t>
  </si>
  <si>
    <t>Realtek8111网卡</t>
  </si>
  <si>
    <t>1、将switch接到主机上，接Realtek8111网卡
2、检测设备状态是否正常
3、运行相关测试程序（netperf,iperf）</t>
  </si>
  <si>
    <t>RTL811 网卡前期未找到，后边找到后进行的验证。</t>
  </si>
  <si>
    <t>PCIe_SYS_Compatibility_008</t>
  </si>
  <si>
    <t>RTL8125-1T网卡</t>
  </si>
  <si>
    <t>1、将switch接到主机上，接RTL8125-1T网卡
2、检测设备状态是否正常
3、运行相关测试程序（netperf,iperf）</t>
  </si>
  <si>
    <t>PCIe_SYS_Compatibility_009</t>
  </si>
  <si>
    <t>X520-SR1网卡</t>
  </si>
  <si>
    <t>1、将switch接到主机上，接X520-SR1网卡
2、检测设备状态是否正常
3、运行相关测试程序（netperf,iperf）</t>
  </si>
  <si>
    <t>PCIe_SYS_Compatibility_010</t>
  </si>
  <si>
    <t>Intel E810-XXVDA2 网卡</t>
  </si>
  <si>
    <t>1、将switch接到主机上，接Intel E810-XXVDA2 网卡
2、检测设备状态是否正常
3、运行相关测试程序（netperf,iperf）</t>
  </si>
  <si>
    <t>PCIe_SYS_Compatibility_011</t>
  </si>
  <si>
    <t>Mellanox cx-5网卡</t>
  </si>
  <si>
    <t>1、将switch接到主机上，接Mellanox 网卡
2、检测设备状态是否正常
3、运行相关测试程序（网卡直通，netperf,iperf，NVME over TCP，NVME over RDMA，虚拟化网卡）</t>
  </si>
  <si>
    <t>PCIe_SYS_Compatibility_012</t>
  </si>
  <si>
    <t>WD_BLACK NVME SSD AN1500 1TB</t>
  </si>
  <si>
    <t>1、将switch接到主机上，接WD_BLACK NVME SSD AN1500 1TB
2、检测设备状态是否正常
3、运行相关测试程序（FIO、IOzone，dd）</t>
  </si>
  <si>
    <t>PCIe_SYS_Compatibility_013</t>
  </si>
  <si>
    <t>SSD 900P 280GB</t>
  </si>
  <si>
    <t>1、将switch接到主机上，接SSD 900P 280GB
2、检测设备状态是否正常
3、运行相关测试程序（FIO、IOzone，dd）</t>
  </si>
  <si>
    <t>PCIe_SYS_Compatibility_014</t>
  </si>
  <si>
    <t>SSD PM1735 1.6T</t>
  </si>
  <si>
    <t>1、将switch接到主机上，接SSD PM1735 1、6T
2、检测设备状态是否正常
3、运行相关测试程序（FIO、IOzone，dd）</t>
  </si>
  <si>
    <t>PCIe_SYS_Compatibility_015</t>
  </si>
  <si>
    <t>8749 Switch</t>
  </si>
  <si>
    <t>1、将switch接到主机上，接8749 Switch，然后再将其他外设（网卡，显卡，盘）接在8749下
2、检测8749和其他外设状态是否正常
3、运行相关测试程序</t>
  </si>
  <si>
    <t>PCIe_SYS_Compatibility_016</t>
  </si>
  <si>
    <t>PCIE转USB</t>
  </si>
  <si>
    <t>1、将switch接到主机上，PCIE转USB，再将u盘接在USB口下
2、检测设备状态是否正常
3、运行相关测试程序（读写u盘，或者将u盘设置为启动盘）</t>
  </si>
  <si>
    <t>PCIe_SYS_Compatibility_017</t>
  </si>
  <si>
    <t>sata3.0-8口纯扩展卡Marvell</t>
  </si>
  <si>
    <t>1、将switch接到主机上，接sata3、0-8口纯扩展卡Marvell，然后再将sata盘接在扩展卡下
2、检测扩展卡和sata盘状态是否正常
3、运行相关测试程序（FIO、IOzone，dd）</t>
  </si>
  <si>
    <t>PCIe_SYS_Compatibility_018</t>
  </si>
  <si>
    <t>(LPe31002)HBA卡</t>
  </si>
  <si>
    <t>1、将switch接到主机上，接(LPe31002)HBA卡
2、检测设备状态是否正常
3、运行相关测试程序（网卡直通，netperf,iperf）</t>
  </si>
  <si>
    <t>PCIe_SYS_Compatibility_019</t>
  </si>
  <si>
    <t>1394A视频采集卡</t>
  </si>
  <si>
    <t>1、将switch接到主机上，接1394A视频采集卡
2、检测设备状态是否正常</t>
  </si>
  <si>
    <t>PCIe_SYS_Compatibility_020</t>
  </si>
  <si>
    <t>RAID RR620L阵列卡</t>
  </si>
  <si>
    <t>1、将switch接到主机上，接RAID RR620L阵列卡
2、检测设备状态是否正常</t>
  </si>
  <si>
    <t>PCIe_SYS_Compatibility_021</t>
  </si>
  <si>
    <t>LRST9630-4IR 阵列卡</t>
  </si>
  <si>
    <t>1、将switch接到主机上，接LRST9630-4IR 阵列卡
2、检测设备状态是否正常</t>
  </si>
  <si>
    <t>PCIe_SYS_Compatibility_022</t>
  </si>
  <si>
    <t>Retimer卡</t>
  </si>
  <si>
    <t>1、将switch接到主机上，接Retimer卡，再接两块u、2盘至Retimer卡
2、检测设备状态是否正常（可以枚举到一块盘）
3、运行相关测试程序（FIO、IOzone，dd）</t>
  </si>
  <si>
    <t>PCIe_SYS_Compatibility_023</t>
  </si>
  <si>
    <t>mlx-4</t>
  </si>
  <si>
    <t>1、将switch接到主机上，接mlx-4
2、检测设备状态是否正常</t>
  </si>
  <si>
    <t>PCIe_SYS_Compatibility_024</t>
  </si>
  <si>
    <t>Glenfly Arise 1020显卡</t>
  </si>
  <si>
    <t>1、将switch接到主机上，接Glenfly Arise 1020显卡
2、检测设备状态是否正常</t>
  </si>
  <si>
    <t>PCIe_SYS_Compatibility_025</t>
  </si>
  <si>
    <t>亿恒520</t>
  </si>
  <si>
    <t>1、将switch接到主机上，接亿恒520
2、检测设备状态是否正常</t>
  </si>
  <si>
    <t>PCIe_SYS_Compatibility_026</t>
  </si>
  <si>
    <t>WD 840</t>
  </si>
  <si>
    <t>1、将switch接到主机上，接WD 840
2、检测设备状态是否正常</t>
  </si>
  <si>
    <t>PCIe_SYS_Compatibility_027</t>
  </si>
  <si>
    <t>PM1725</t>
  </si>
  <si>
    <t>1、将switch接到主机上，接PM1725
2、检测设备状态是否正常</t>
  </si>
  <si>
    <t>PCIe_SYS_Compatibility_028</t>
  </si>
  <si>
    <t>intel  P4510</t>
  </si>
  <si>
    <t>1、将switch接到主机上，接intel  P4510
2、检测设备状态是否正常</t>
  </si>
  <si>
    <t>PCIe_SYS_Compatibility_029</t>
  </si>
  <si>
    <t>PM 983</t>
  </si>
  <si>
    <t>1、将switch接到主机上，接PM 983
2、检测设备状态是否正常</t>
  </si>
  <si>
    <t>PCIe_SYS_Compatibility_030</t>
  </si>
  <si>
    <t>PM 1743</t>
  </si>
  <si>
    <t>1、将switch接到主机上，接PM 1743
2、检测设备状态是否正常</t>
  </si>
  <si>
    <t>PCIe_SYS_Compatibility_031</t>
  </si>
  <si>
    <t>亿恒7940</t>
  </si>
  <si>
    <t>1、将switch接到主机上，接亿恒7940
2、检测设备状态是否正常</t>
  </si>
  <si>
    <t>PCIe_SYS_Compatibility_032</t>
  </si>
  <si>
    <t>intel d4800X</t>
  </si>
  <si>
    <t>1、将switch接到主机上，接intel d4800X
2、检测设备状态是否正常</t>
  </si>
  <si>
    <t>PCIe_SYS_Compatibility_033</t>
  </si>
  <si>
    <t>网讯RP2000</t>
  </si>
  <si>
    <t>1、将switch接到主机上，接网讯RP2000
2、检测设备状态是否正常</t>
  </si>
  <si>
    <t>基础模式</t>
  </si>
  <si>
    <t>SUM</t>
  </si>
  <si>
    <t>执行率</t>
  </si>
  <si>
    <t>负责人</t>
  </si>
  <si>
    <t>筛片(优先)</t>
  </si>
  <si>
    <t>崔猛龙</t>
  </si>
  <si>
    <t>fanout(优先)</t>
  </si>
  <si>
    <t>姜志</t>
  </si>
  <si>
    <t>孟寒冰</t>
  </si>
  <si>
    <t>康伟伟</t>
  </si>
  <si>
    <t>性能稳定性场景</t>
  </si>
  <si>
    <t>all</t>
  </si>
  <si>
    <t>虚拟化场景待删除</t>
  </si>
  <si>
    <t>TOTAL</t>
  </si>
  <si>
    <t>合成模式</t>
  </si>
  <si>
    <t>筛片</t>
  </si>
  <si>
    <t>NTB</t>
  </si>
  <si>
    <t>基础-协议类测试</t>
  </si>
  <si>
    <t>枚举</t>
  </si>
  <si>
    <t>寒冰</t>
  </si>
  <si>
    <t>师雯</t>
  </si>
  <si>
    <t>RST</t>
  </si>
  <si>
    <t>业平</t>
  </si>
  <si>
    <t>MEM</t>
  </si>
  <si>
    <t>伟伟</t>
  </si>
  <si>
    <t>CFG</t>
  </si>
  <si>
    <t>CPL</t>
  </si>
  <si>
    <t>IO</t>
  </si>
  <si>
    <t>志勇</t>
  </si>
  <si>
    <t>MSG</t>
  </si>
  <si>
    <t>INT</t>
  </si>
  <si>
    <t>ATOMIC</t>
  </si>
  <si>
    <t>木金</t>
  </si>
  <si>
    <t>SLOT</t>
  </si>
  <si>
    <t>MPS</t>
  </si>
  <si>
    <t>ATTR</t>
  </si>
  <si>
    <t>井玉</t>
  </si>
  <si>
    <t>TAG</t>
  </si>
  <si>
    <t>ARI</t>
  </si>
  <si>
    <t>LOCKED</t>
  </si>
  <si>
    <t>ERR</t>
  </si>
  <si>
    <t>AER</t>
  </si>
  <si>
    <t>PM</t>
  </si>
  <si>
    <t>LINK</t>
  </si>
  <si>
    <t>PREFIX</t>
  </si>
  <si>
    <t>DPC</t>
  </si>
  <si>
    <t>HP</t>
  </si>
  <si>
    <t>NPEM</t>
  </si>
  <si>
    <t>PCIE_SYS_GPIOMux</t>
  </si>
  <si>
    <t>合成-协议类测试</t>
  </si>
  <si>
    <t>yundu_asic_gen1_20240913_open_nvme</t>
  </si>
  <si>
    <t>yundu_asic_base_20241014</t>
  </si>
  <si>
    <t>PCIE_SYS_MGR_EP_001</t>
  </si>
  <si>
    <t>在SPI Flash 有完整的IMG 和 CFG,  正常启动后， lspci 能看到对应的ManagerEP，所有参数显示符合预期。</t>
  </si>
  <si>
    <t xml:space="preserve">
lspci -vvv -s [实际BDF]</t>
  </si>
  <si>
    <t>显示参数内容待定</t>
  </si>
  <si>
    <t>需要在json文件中gas设置为true</t>
  </si>
  <si>
    <t>PCIE_SYS_MGR_EP_002</t>
  </si>
  <si>
    <t>在SPI Flash 有完整的IMG 和 CFG,  正常启动后，能够正常读写EP配置空间</t>
  </si>
  <si>
    <t>1. setpci
2. lspci</t>
  </si>
  <si>
    <t>读出来的值是写进去的值</t>
  </si>
  <si>
    <t>PCIE_SYS_MGR_EP_003</t>
  </si>
  <si>
    <t>在SPI Flash 有完整的IMG 和 CFG,  正常启动后，能够正常读写EP memory 空间</t>
  </si>
  <si>
    <t>devmem</t>
  </si>
  <si>
    <t>PCIE_SYS_MGR_EP_004</t>
  </si>
  <si>
    <t>在 SPI Flash 没有IMG和CFG， 或者 IMG 被破坏的情况下， 能够通过串口下载IMG 和 CFG 文件</t>
  </si>
  <si>
    <t xml:space="preserve">
需要BOOTROM 提供命令。
json文件开启debug，关闭gas</t>
  </si>
  <si>
    <t>启动后按d进入pbl功能选项</t>
  </si>
  <si>
    <t>PCIE_SYS_MGR_EP_005</t>
  </si>
  <si>
    <t>使用yd_cli命令下载 IMG 和 CFG， 重新启动， 启动符合预期</t>
  </si>
  <si>
    <t>1、yd_cli  updatefw fw0/fw1 &lt;filename&gt;
2、yd_cli updatefw cfg0/cfg1 &lt;filename&gt;</t>
  </si>
  <si>
    <t>PCIE_SYS_MGR_EP_006</t>
  </si>
  <si>
    <t>使用nvme 命令下载 IMG 和 CFG， 重新启动， 启动符合预期</t>
  </si>
  <si>
    <t>nvme fw-download --fw=[file] --offset=[addr]</t>
  </si>
  <si>
    <t>在另一套nvme工具中实现</t>
  </si>
  <si>
    <t>PCIE_SYS_MGR_EP_007</t>
  </si>
  <si>
    <t>使用yd_cli 命令下载 IMG 和 CFG， 下载一半， 退出， 重新启动， 需要能够正常启动</t>
  </si>
  <si>
    <t>1. yd_cli updatefw fw0/fw1 &lt;filename&gt;
2. 下载一半， ctrl+c 退出
3. 重启
4. yd_cli pcicfg 或者其他查看参数命令， cfg 是备份分区的</t>
  </si>
  <si>
    <t>PCIE_SYS_MGR_EP_008</t>
  </si>
  <si>
    <t>使用nvme 命令下载 IMG 和 CFG， 下载一半， 退出， 重新启动， 需要能够正常启动</t>
  </si>
  <si>
    <t>1. nvme fw_download --fw=[file] --offset=[]
2. 下载一半， ctrl+c 退出
3. 重启
4. yd_cli pcicfg 或者其他查看参数命令， cfg 是备份分区的</t>
  </si>
  <si>
    <t>PCIE_SYS_MGR_EP_009</t>
  </si>
  <si>
    <t>使用yd_cli命令下载 无效的IMG 和 CFG， 能够检验并报错</t>
  </si>
  <si>
    <t>1、yd_cli updatefw fw0/fw1 &lt;filename&gt;
2、yd_cli updatefw cfg0/cfg1 &lt;filename&gt;</t>
  </si>
  <si>
    <t>更新为File-x xxx.bin</t>
  </si>
  <si>
    <t>PCIE_SYS_MGR_EP_010</t>
  </si>
  <si>
    <t>使用yd_cli 命令下载 经过修改的IMG 和 CFG， 能够检验并报错</t>
  </si>
  <si>
    <t>1. yd_cli updatefw fw0/fw1 &lt;filename&gt;</t>
  </si>
  <si>
    <t>PCIE_SYS_MGR_EP_011</t>
  </si>
  <si>
    <t>使用yd_cli 下载IMG 和 CFG, 版本低于SPI Flash 里的IMG 和 CFG 版本， 需要有提示， 是否要更新。</t>
  </si>
  <si>
    <t>需要有提示， 是否要更新。</t>
  </si>
  <si>
    <t>回退版本没有提示</t>
  </si>
  <si>
    <t>PCIE_SYS_MGR_EP_012</t>
  </si>
  <si>
    <t>使用yd_cli  ul, 读取switch 的特定信息， 并保存成不同的文件。</t>
  </si>
  <si>
    <t>1. yd_cli ul  ['header', 'spl0', 'spl1', 'cfg0', 'cfg1', 'fw0', 'fw1', 'log']  -o &lt;filename&gt;</t>
  </si>
  <si>
    <t>PCIE_SYS_MGR_EP_013</t>
  </si>
  <si>
    <t>使用yd_cli  fwlogs, 读取switch 的log信息， 如果有多个log信息分区， 需要读取所有的log 信息分区， 并保存成不同的文件。 
需要循环1000次压力测试。</t>
  </si>
  <si>
    <t>1. 擦除 log信息分区。yd_cli erase -i &lt;&gt;
2. 写入准备好的log文件.yd_cli updatefw fw0/fw1 &lt;filename&gt;
3.yd_cli ul -index=&lt;&gt;  -o &lt;filename&gt;读取并保存成另外文件。
4. 比较两个文件内容。</t>
  </si>
  <si>
    <t>log 文件内容一样</t>
  </si>
  <si>
    <t>PCIE_SYS_MGR_EP_014</t>
  </si>
  <si>
    <t>使用nvme, 读取switch 的log信息， 如果有多个log信息分区， 需要读取所有的log 信息分区， 并保存成不同的文件。</t>
  </si>
  <si>
    <t>1. nvme 读取并保存成文件。 nvme fw-log -o &lt;file_name&gt;</t>
  </si>
  <si>
    <t>PCIE_SYS_MGR_EP_015</t>
  </si>
  <si>
    <t>使用yd_cli perf 获取所有的PMU 信息</t>
  </si>
  <si>
    <t xml:space="preserve">
yd_cli  perf [-p &lt;port&gt;] [-t &lt;time&gt;] [-c &lt;count&gt;]
监控switch port口性能数据，-t 获取时间间隔，默认100ms；-c 循环获取次数</t>
  </si>
  <si>
    <t>PCIE_SYS_MGR_EP_016</t>
  </si>
  <si>
    <t>获取所有端口的详细信息</t>
  </si>
  <si>
    <t>yd port [-p &lt;port number&gt;]</t>
  </si>
  <si>
    <t>0-27个逻辑口分别对应28个物理口（0-f，16进制，0x0=s0p1,0x10=s4p1）</t>
  </si>
  <si>
    <t>PCIE_SYS_MGR_EP_017</t>
  </si>
  <si>
    <t>获取所有端口连接的设备的详细信息</t>
  </si>
  <si>
    <t>yd pcicfg [-pci &lt;BB:DD:FF&gt;] [-port &lt;port number&gt;]</t>
  </si>
  <si>
    <t>PCIE_SYS_MGR_EP_018</t>
  </si>
  <si>
    <t>获取9个temperature sensor，9个voltage monitor，9个process detector 的相关数据</t>
  </si>
  <si>
    <t>PCIE_SYS_MGR_EP_019</t>
  </si>
  <si>
    <t>获取风扇数据</t>
  </si>
  <si>
    <t>PCIE_SYS_MGR_EP_020</t>
  </si>
  <si>
    <t>设置风扇数据</t>
  </si>
  <si>
    <t>PCIE_SYS_MGR_EP_021</t>
  </si>
  <si>
    <t>复位测试</t>
  </si>
  <si>
    <t>reset -hw
reset -sw
底层调用的都是一个</t>
  </si>
  <si>
    <t>switch 能够复位重启</t>
  </si>
  <si>
    <t>PCIE_SYS_MGR_EP_022</t>
  </si>
  <si>
    <t>获取眼图数据</t>
  </si>
  <si>
    <t>不支持/不计入总数</t>
  </si>
  <si>
    <t>PCIE_SYS_MGR_EP_023</t>
  </si>
  <si>
    <t>读取/设置GPIO</t>
  </si>
  <si>
    <t>gpiopin</t>
  </si>
  <si>
    <t>PCIE_SYS_MGR_EP_024</t>
  </si>
  <si>
    <t>读取/设置电压</t>
  </si>
  <si>
    <t>现在没有设置电压</t>
  </si>
  <si>
    <t>PCIE_SYS_MGR_EP_025</t>
  </si>
  <si>
    <t>debug 功能（关掉gas） 从SPI Flash 指定地址读写指定长度的数据</t>
  </si>
  <si>
    <t>1、json文件关闭gas
2、打开yd_cli工具
3、执行spiflash -r &lt;addr&gt; &lt;size&gt;进行读取指定地址数据</t>
  </si>
  <si>
    <t>P2</t>
  </si>
  <si>
    <t>PCIE_SYS_MGR_EP_026</t>
  </si>
  <si>
    <t>从SPI Flash 读取分区表信息</t>
  </si>
  <si>
    <t>yd  cfg</t>
  </si>
  <si>
    <t>PCIE_SYS_MGR_EP_027</t>
  </si>
  <si>
    <t>更新SPI Flash 的分区表信息，即更新header</t>
  </si>
  <si>
    <t xml:space="preserve"> updatefw header image_header.bin</t>
  </si>
  <si>
    <t>不用updatefw升级</t>
  </si>
  <si>
    <t>PCIE_SYS_MGR_EP_028</t>
  </si>
  <si>
    <t>从flash读取header、spl0、spl1、fw0、fw1、cfg等version信息</t>
  </si>
  <si>
    <t>flash刷了版本文件</t>
  </si>
  <si>
    <t>type： header/spl0/spl1/cfg/fw0/fw1/all
version &lt;type&gt;</t>
  </si>
  <si>
    <t>spl0、fw0或者spl1、fw1有版本信息</t>
  </si>
  <si>
    <t>PCIE_SYS_MGR_EP_029</t>
  </si>
  <si>
    <t>读取device 详细信息</t>
  </si>
  <si>
    <t>show ftbl
show spi
show hw
show-----读取所有（ftbl spi hw）</t>
  </si>
  <si>
    <t>读取成功，并打印读取信息，无error</t>
  </si>
  <si>
    <t>PCIE_SYS_MGR_EP_030</t>
  </si>
  <si>
    <t>读取device 信息</t>
  </si>
  <si>
    <t>devinfo</t>
  </si>
  <si>
    <t>串口显示get_devinfo信息
cli工具显示二进制数据</t>
  </si>
  <si>
    <t>PCIE_SYS_MGR_EP_031</t>
  </si>
  <si>
    <t>不启动host，不接EP-端口配置空间读取测试</t>
  </si>
  <si>
    <t>1、有flash
2、switch只加载fw，不启动主机，不接EP外设</t>
  </si>
  <si>
    <t>1、cli工具执行pcicfg命令，遍历所有port执行获取配置空间信息
pcicfg -p &lt;port_numbers&gt;
2、查看switch状态</t>
  </si>
  <si>
    <t>1、命令执行成功，无异常错误输出
2、switch运行正常</t>
  </si>
  <si>
    <t>2024/10/12 新增</t>
  </si>
  <si>
    <t>YUNDUSIL-168</t>
  </si>
  <si>
    <t>PCIE_SYS_MGR_EP_032</t>
  </si>
  <si>
    <t>不启动host-端口配置空间读取测试</t>
  </si>
  <si>
    <t>1、有flash
2、switch加载fw，不启动host，部分port接EP</t>
  </si>
  <si>
    <t xml:space="preserve"> 命令行里的参数需要根据实际的分区表计算填写。</t>
  </si>
  <si>
    <t>PCIE_SYS_MGR_Sudolink_001</t>
  </si>
  <si>
    <t>help信息查看
1.fwdownload;</t>
  </si>
  <si>
    <t>1.双击sudolink,new connect 设置connection type、port/ baud rate ；
2.点击connect连接成功 ，
3.点击Help&gt;help contents&gt;toolsset&gt;tools&gt;Firmware download；
4.查看Firmware download信息</t>
  </si>
  <si>
    <t>可以查看到详细的help信息，并且无乱码或者缺失操作说明</t>
  </si>
  <si>
    <t>PCIE_SYS_MGR_Sudolink_002</t>
  </si>
  <si>
    <t>Direct serial connection：read partitions</t>
  </si>
  <si>
    <t>1.双击sudolink,new connect 设置connection type、port/ baud rate ；
2.点击connect连接成功，
3.点击firmware download,查看右下角output-sudolink debug log窗口输出信息；
3.点击 read partitions
4.查看右侧输出信息状态</t>
  </si>
  <si>
    <t>1.output-sudolink debug log 输出：UART open success!! UART Init success!!
2.可以成功读出所有partitions,无异常；
3.主备状态区正常（有黄色active和灰色非active区别）</t>
  </si>
  <si>
    <t>PCIE_SYS_MGR_Sudolink_003</t>
  </si>
  <si>
    <t>Direct serial connection：choose image——image_header.bin</t>
  </si>
  <si>
    <t>1.双击sudolink,new connect 设置connection type、port/ baud rate ；
2.点击connect连接成功，
3.点击firmware download,查看右下角output-sudolink debug log窗口输出信息；
4.点击右上角“choose image”,选中需要加载的header bin文件，点击打开；
5。检查"file name"/"file path"/"file size"三个区域是否符合加载文件</t>
  </si>
  <si>
    <t>1.可以正常打开choose image 选项；
2.加载完后检查区域符合预期</t>
  </si>
  <si>
    <t>PCIE_SYS_MGR_Sudolink_004</t>
  </si>
  <si>
    <t>Direct serial connection：download image---image_header.bin</t>
  </si>
  <si>
    <t>cli_common.json修改端口和波特率，双击yd_cli命令行工具，提示uart链接成功后输入以下命令测试串口确保是通的:
gasrd 0x400000 8</t>
  </si>
  <si>
    <t>1.双击sudolink,new connect 设置connection type、port/ baud rate ；
2.点击connect连接成功，
3.点击firmware download,查看右下角output-sudolink debug log窗口输出信息；
4.点击右上角“download image”,开始header文件刷新；
5。整个刷新过程中观察下侧“output-sudolink debug log”区域打印情况及最下侧刷新进度状态</t>
  </si>
  <si>
    <t>1.可以正常点击download image 框；
2.刷新过程output区域无异常报错，最后输出结果“update image success”;
3.整个过程最下侧进度条加载正常，没有无进度、hang死不动，闪现100%等异常现象。</t>
  </si>
  <si>
    <t>PCIE_SYS_MGR_Sudolink_005</t>
  </si>
  <si>
    <t>Direct serial connection：choose image——spl_image.bin</t>
  </si>
  <si>
    <t>1.双击sudolink,new connect 设置connection type、port/ baud rate ；
2.点击connect连接成功，
3.点击firmware download,查看右下角output-sudolink debug log窗口输出信息；
4.点击右上角“choose image”,选中需要加载的spl bin文件，点击打开；
5。检查"file name"/"file path"/"file size"三个区域是否符合加载文件</t>
  </si>
  <si>
    <t>PCIE_SYS_MGR_Sudolink_006</t>
  </si>
  <si>
    <t>Direct serial connection：download image---spl_image.bin</t>
  </si>
  <si>
    <t>1.双击sudolink,new connect 设置connection type、port/ baud rate ；
2.点击connect连接成功，
3.点击firmware download,查看右下角output-sudolink debug log窗口输出信息；
4.点击右上角“download image”,开始spl文件刷新；
5。整个刷新过程中观察下侧“output-sudolink debug log”区域打印情况及最下侧刷新进度状态</t>
  </si>
  <si>
    <t>PCIE_SYS_MGR_Sudolink_007</t>
  </si>
  <si>
    <t>Direct serial connection：choose image——cfg_image.bin</t>
  </si>
  <si>
    <t>1.双击sudolink,new connect 设置connection type、port/ baud rate ；
2.点击connect连接成功，
3.点击firmware download,查看右下角output-sudolink debug log窗口输出信息；
4.点击右上角“choose image”,选中需要加载的fw bin文件，点击打开；
5。检查"file name"/"file path"/"file size"三个区域是否符合加载文件</t>
  </si>
  <si>
    <t>PCIE_SYS_MGR_Sudolink_008</t>
  </si>
  <si>
    <t>Direct serial connection：download image---cfg_image.bin</t>
  </si>
  <si>
    <t>1.双击sudolink,new connect 设置connection type、port/ baud rate ；
2.点击connect连接成功，
3.点击firmware download,查看右下角output-sudolink debug log窗口输出信息；
4.点击右上角“download image”,开始cfg文件刷新；
5。整个刷新过程中观察下侧“output-sudolink debug log”区域打印情况及最下侧刷新进度状态</t>
  </si>
  <si>
    <t>PCIE_SYS_MGR_Sudolink_009</t>
  </si>
  <si>
    <t>Direct serial connection：choose image——fw_image.bin</t>
  </si>
  <si>
    <t>PCIE_SYS_MGR_Sudolink_010</t>
  </si>
  <si>
    <t>Direct serial connection：download image---fw_image.bin</t>
  </si>
  <si>
    <t>1.双击sudolink,new connect 设置connection type、port/ baud rate ；
2.点击connect连接成功，
3.点击firmware download,查看右下角output-sudolink debug log窗口输出信息；
4.点击右上角“download image”,开始fw文件刷新；
5。整个刷新过程中观察下侧“output-sudolink debug log”区域打印情况及最下侧刷新进度状态</t>
  </si>
  <si>
    <t>PCIE_SYS_MGR_Sudolink_011</t>
  </si>
  <si>
    <t>Direct serial connection：刷完之后read partitions</t>
  </si>
  <si>
    <t>1.fw刷新完之后。对fpga复位后/或者通过串口命令行执行reset；
2.待进入fw之后，重新打开sudolink工具，
3.点击firmware download,查看右下角output-sudolink debug log窗口输出信息；
3.点击 read partitions
4.查看右侧输出信息状态</t>
  </si>
  <si>
    <t>1.复位之后，fw可以加载正常进入；
2.sudolink可以正常打开读取分区信息正常</t>
  </si>
  <si>
    <t>PCIE_SYS_MGR_Sudolink_012</t>
  </si>
  <si>
    <t>Direct serial connection：toggle partition_cfg</t>
  </si>
  <si>
    <t>1.执行read partition,确保读取正常；
2.查看串口输出信息里bitmap如为0xf；
3.sudolink内点击toogle partition,选择
“cfg partition”;
4.查看output无异常；
5.通过fpga复位或者串口命令行执行reset；
6.待进入fw之后查看串口输出信息里bitmap信息；
7.查看sudolink分区状态及output里状态信息</t>
  </si>
  <si>
    <t>1.复位之后，fw可以加载正常进入；
2.sudolink可以正常打开读取分区信息正常；
3.整个过程sudolinkoutput无异常；
6.串口信息里应该有看到bitmap toogle成功为 current active_bitmap:0xb</t>
  </si>
  <si>
    <t>PCIE_SYS_MGR_Sudolink_013</t>
  </si>
  <si>
    <t>Direct serial connection：toggle partition_fw</t>
  </si>
  <si>
    <t>1.执行read partition,确保读取正常；
2.查看串口输出信息里bitmap如为0xb；
3.sudolink内点击toogle partition,选择
“cfg partition”;
4.查看output无异常；
5.通过fpga复位或者串口命令行执行reset；
6.待进入fw之后查看串口输出信息里bitmap信息；
7.查看sudolink分区状态及output里状态信息</t>
  </si>
  <si>
    <t>1.复位之后，fw可以加载正常进入；
2.sudolink可以正常打开读取分区信息正常；
3.整个过程sudolinkoutput无异常；
6.串口信息里应该有看到bitmap toogle成功为 current active_bitmap:0x9</t>
  </si>
  <si>
    <t>PCIE_SYS_MGR_Sudolink_014</t>
  </si>
  <si>
    <t>Direct serial connection：toggle partition_cfg and fw partitions</t>
  </si>
  <si>
    <t>1.执行read partition,确保读取正常；
2.查看串口输出信息里bitmap如为0x9；
3.sudolink内点击toogle partition,选择
“cfg partition”;
4.查看output无异常；
5.通过fpga复位或者串口命令行执行reset；
6.待进入fw之后查看串口输出信息里bitmap信息；
7.查看sudolink分区状态及output里状态信息</t>
  </si>
  <si>
    <t>1.复位之后，fw可以加载正常进入；
2.sudolink可以正常打开读取分区信息正常；
3.整个过程sudolinkoutput无异常；
6.串口信息里应该有看到bitmap toogle成功为 current active_bitmap:0xf</t>
  </si>
  <si>
    <t>PCIE_SYS_MGR_Sudolink_015</t>
  </si>
  <si>
    <t>Direct serial connection：reset</t>
  </si>
  <si>
    <t>1.执行read partition,确保读取正常；
2.打开trace32，确保fw处于running状态，3.在sudolink内点击reset device；
3.观察output输出信息；
4.观察trace32右下角fw状态</t>
  </si>
  <si>
    <t>日志显示在输入c或d的界面，command无法输入命令？--问业平</t>
  </si>
  <si>
    <t>PCIE_SYS_MGR_Sudolink_016</t>
  </si>
  <si>
    <t>Disaster recovery terminal：choose image——image_header.bin</t>
  </si>
  <si>
    <t>PCIE_SYS_MGR_Sudolink_017</t>
  </si>
  <si>
    <t>Disaster recovery terminal：download image---image_header.bin</t>
  </si>
  <si>
    <t>PCIE_SYS_MGR_Sudolink_018</t>
  </si>
  <si>
    <t>Disaster recovery terminal：choose image——spl_image.bin</t>
  </si>
  <si>
    <t>PCIE_SYS_MGR_Sudolink_019</t>
  </si>
  <si>
    <t>Disaster recovery terminal：download image---spl_image.bin</t>
  </si>
  <si>
    <t>PCIE_SYS_MGR_Sudolink_020</t>
  </si>
  <si>
    <t>Disaster recovery terminal：choose image——cfg_image.bin</t>
  </si>
  <si>
    <t>PCIE_SYS_MGR_Sudolink_021</t>
  </si>
  <si>
    <t>Disaster recovery terminal：download image---cfg_image.bin</t>
  </si>
  <si>
    <t>PCIE_SYS_MGR_Sudolink_022</t>
  </si>
  <si>
    <t>Disaster recovery terminal：choose image——fw_image.bin</t>
  </si>
  <si>
    <t>PCIE_SYS_MGR_Sudolink_023</t>
  </si>
  <si>
    <t>Disaster recovery terminal：download image---fw_image.bin</t>
  </si>
  <si>
    <t>PCIE_SYS_MGR_Sudolink_024</t>
  </si>
  <si>
    <t>switch端口配置--导入配置</t>
  </si>
  <si>
    <t>sudolink工具</t>
  </si>
  <si>
    <t>1、选择configuration file editor -&gt; read后，选择 open选择需要导入的cfg配置文件
2、导入后，write
3、反转cfg，重启
4、检查主机配置</t>
  </si>
  <si>
    <t>1、导入cfg成功
2、主机重启后，lspci检查switch识别正常</t>
  </si>
  <si>
    <t>PCIE_SYS_MGR_Sudolink_025</t>
  </si>
  <si>
    <t>switch端口配置--station配置-&gt;controller形态配置
usp c88</t>
  </si>
  <si>
    <t>1、sudolink工具
2、station 4为usp</t>
  </si>
  <si>
    <t>1、选择configuration file editor -&gt; read后，选择 station settings
2、找到usp的station 4，配置为c88
3、点击write，根据提示反转cfg配置并reset device
4、firmware download -&gt; toggle partition -&gt; cfg partition
5、firmware download -&gt; reset device
6、等待几分钟后，自动进入系统，再次configuration file editor -&gt; read 读取配置，查看station 4配置信息</t>
  </si>
  <si>
    <t>1、配置成功，读取配置和当前配置数据一致
2、重启后，读取station配置为配置后的c88形态</t>
  </si>
  <si>
    <t>PCIE_SYS_MGR_Sudolink_026</t>
  </si>
  <si>
    <t>switch端口配置--station配置-&gt;controller形态配置
dsp c88</t>
  </si>
  <si>
    <t>1、sudolink工具
2、station 0为dsp</t>
  </si>
  <si>
    <t>1、选择configuration file editor -&gt; read后，选择 station settings
2、找到station 0，配置为c88
3、点击write，根据提示反转cfg配置并reset device
4、firmware download -&gt; toggle partition -&gt; cfg partition
5、firmware download -&gt; reset device
6、等待几分钟后，自动进入系统，再次configuration file editor -&gt; read 读取配置，查看station 0配置信息</t>
  </si>
  <si>
    <t>1、配置成功
2、重启后，读取station配置为配置后的c88形态</t>
  </si>
  <si>
    <t>PCIE_SYS_MGR_Sudolink_027</t>
  </si>
  <si>
    <t>switch端口配置--station配置-&gt;链路宽度配置
dsp</t>
  </si>
  <si>
    <t>1、sudolink工具
2、switch接EP支持x8或x16</t>
  </si>
  <si>
    <t>1、修改dsp的station 1为c88形态
2、partition settings找到DSP #1所对应的port口，如port 4，即s1p1
3、physical port settings -&gt; 找到port 4口，配置maximum link width为x8
4、反转cfg，重启
5、重启后lspci检查s1p1对应的EP的LnkSta</t>
  </si>
  <si>
    <t>1、配置成功
2、重启后，对应EP的链路宽度协商为x8</t>
  </si>
  <si>
    <t>PCIE_SYS_MGR_Sudolink_028</t>
  </si>
  <si>
    <t>switch端口配置--station配置-&gt;链路宽度配置
usp</t>
  </si>
  <si>
    <t>PCIE_SYS_MGR_Sudolink_029</t>
  </si>
  <si>
    <t>switch端口配置--station配置-&gt;链路速度配置
dsp</t>
  </si>
  <si>
    <t>1、sudolink工具
2、switch接EP至少为gen3</t>
  </si>
  <si>
    <t xml:space="preserve">1、修改station 2为dsp
2、partition settings找到DSP #1所对应的port口，如port 8，即s2p1
3、physical port settings -&gt; 找到port 8口，配置supported link rates为gen1
4、反转cfg，重启
5、重启后lspci检查s1p1对应的EP的LnkSta
</t>
  </si>
  <si>
    <t>1、配置成功
2、重启后，对应EP的链路速度协商为gen1</t>
  </si>
  <si>
    <t>PCIE_SYS_MGR_Sudolink_030</t>
  </si>
  <si>
    <t>switch端口配置--station配置-&gt;链路速度配置
usp</t>
  </si>
  <si>
    <t>1、sudolink工具</t>
  </si>
  <si>
    <t>PCIE_SYS_MGR_Sudolink_031</t>
  </si>
  <si>
    <t>switch端口配置--同station内，多port配置
c88-p1和p2</t>
  </si>
  <si>
    <t>1、sudolink工具
2、switch接EP支持x16</t>
  </si>
  <si>
    <t>1、修改station 3为c88形态（station setting）
2、partition settings，DSP #4和#5分别选择port12和13（即s3p1、s3p2）
3、反转cfg，重启
4、重启后lspci检查对应EP状态</t>
  </si>
  <si>
    <t>1、修改成功
2、重启后，switch识别正常，EP枚举成功
3、s3p1和s3p2都协商为x8</t>
  </si>
  <si>
    <t>PCIE_SYS_MGR_Sudolink_032</t>
  </si>
  <si>
    <t>switch端口配置--同station内，多port配置
c4444-p1、p2、p3和p4</t>
  </si>
  <si>
    <t>1、sudolink工具
2、switch接EP支持x8或x16
3、需要接盘夹（4个x4）</t>
  </si>
  <si>
    <t>1、修改station 5为c4444形态（station setting）
2、partition settings，DSP #3、#4、#5和#6分别选择port20和21、22、24（即s5p1-s5p4）
3、反转cfg，重启
4、重启后lspci检查对应EP状态</t>
  </si>
  <si>
    <t>1、修改成功
2、重启后，switch识别正常，EP枚举成功
3、s5p1-s5p4都协商为x4</t>
  </si>
  <si>
    <t>PCIE_SYS_MGR_nvme_001</t>
  </si>
  <si>
    <t>工具安装，确保工具可以正常安装，安装完毕，plugins下有sudu可用</t>
  </si>
  <si>
    <t>确保系统source文件更新为最新：apt-get update</t>
  </si>
  <si>
    <t>1.拉取yundu_host代码：git clone "ssh://huyeping@192.168.50.58:29418/yundu_host"
拷贝到需要的主机上
2.进入yundu_host路径下，安装所需依赖，执行脚本：sudo ./install-dependence.sh
3.在yundu_host路径下，编译安装cli，执行脚本：sudo ./install-cli.sh build
4.执行命令：sudo nvme -h，查看输出信息中，plugins下是否有sudu，如果有说明安装成功</t>
  </si>
  <si>
    <t>所有步骤可执行成功，check结果plugins下确有sudu</t>
  </si>
  <si>
    <t>PCIE_SYS_MGR_nvme_002</t>
  </si>
  <si>
    <t>help信息查看</t>
  </si>
  <si>
    <t>在执行命令之前，如果是更新spl和fw这样比较大的镜像，先执行：
		sudo echo 180 &gt; /sys/module/nvme_core/parameters/admin_timeout
		（180表示180s,即3分钟，像fw这样比较大的镜像，可以将时间再写大一些）</t>
  </si>
  <si>
    <t>1.nvme fw-download -h
2.nvme fw-commit -h</t>
  </si>
  <si>
    <t>PCIE_SYS_MGR_nvme_003</t>
  </si>
  <si>
    <t>nvme admin 固件升级:升级header</t>
  </si>
  <si>
    <t>1.刷新img_header:
首先执行：sudo nvme fw-download /dev/nvme0 -f image_header.bin	（-f指定的文件要与下面的-s参数匹配）
	其次执行：sudo nvme fw-commit /dev/nvme0 -s 0 -a 0 -b 0			（-s参数要与上面的-f指定的文件匹配）
(参数-s = [0-7], 0:img_header; 1:spl0; 2:spl1; 3:cfg0; 4:cfg1; 5:fw0; 6:fw1; 7:log)
(参数- a和- b目前都为0，不要指定其他值！！！)</t>
  </si>
  <si>
    <t>PCIE_SYS_MGR_nvme_004</t>
  </si>
  <si>
    <t>nvme admin 固件升级:升级spl</t>
  </si>
  <si>
    <t>1.刷新spl_image.bin:
首先执行：sudo nvme fw-download /dev/nvme0 -f spl_image.bin	（-f指定的文件要与下面的-s参数匹配）
	其次执行：sudo nvme fw-commit /dev/nvme0 -s 1 -a 0 -b 0			（-s参数要与上面的-f指定的文件匹配）
(参数-s = [0-7], 0:img_header; 1:spl0; 2:spl1; 3:cfg0; 4:cfg1; 5:fw0; 6:fw1; 7:log)
(参数- a和- b目前都为0，不要指定其他值！！！)</t>
  </si>
  <si>
    <t>PCIE_SYS_MGR_nvme_005</t>
  </si>
  <si>
    <t>nvme admin 固件升级:升级cfg</t>
  </si>
  <si>
    <t>1.刷新cfg_image.bin:
首先执行：sudo nvme fw-download /dev/nvme0 -f cfg_image.bin	（-f指定的文件要与下面的-s参数匹配）
	其次执行：sudo nvme fw-commit /dev/nvme0 -s 3 -a 0 -b 0			（-s参数要与上面的-f指定的文件匹配）
(参数-s = [0-7], 0:img_header; 1:spl0; 2:spl1; 3:cfg0; 4:cfg1; 5:fw0; 6:fw1; 7:log)
(参数- a和- b目前都为0，不要指定其他值！！！)</t>
  </si>
  <si>
    <t>PCIE_SYS_MGR_nvme_006</t>
  </si>
  <si>
    <t>nvme admin 固件升级:升级fw</t>
  </si>
  <si>
    <t>1.刷新fw_image.bin:
首先执行：sudo echo 360 &gt; /sys/module/nvme_core/parameters/admin_timeout
再执行：sudo nvme fw-download /dev/nvme0 -f fw_image.bin	（-f指定的文件要与下面的-s参数匹配）
最后执行：sudo nvme fw-commit /dev/nvme0 -s 5 -a 0 -b 0</t>
  </si>
  <si>
    <t>PCIE_SYS_MGR_nvme_007</t>
  </si>
  <si>
    <t>nvme admin 固件升级:升级日志</t>
  </si>
  <si>
    <t>①M：表示强制性选择，必须手动指定该参数
	  ②所有的传输大小最大值都是4096字节，指定超过了4096字节会默认为4096字</t>
  </si>
  <si>
    <t>先fw-downnload一个文件到内存，然后再fw-commit
1、sudo nvme fw-download  /dev/nvme0 -f image_header.bin
2、sudo nvme fw-commit /dev/nvme0 -s 7 -a 0 -b 0</t>
  </si>
  <si>
    <t>PCIE_SYS_MGR_nvme_008</t>
  </si>
  <si>
    <t>nvme dl 固件升级Copy all firmware image to a controller for future update:help 信息查看</t>
  </si>
  <si>
    <t>nvme sudu dl /dev/nvme0 -h</t>
  </si>
  <si>
    <t>PCIE_SYS_MGR_nvme_009</t>
  </si>
  <si>
    <t>nvme dl 固件升级Copy all firmware image to a controller for future update:header升级</t>
  </si>
  <si>
    <t>sudo nvme sudu dl /dev/nvme0 -t 0 -f image_header.bin</t>
  </si>
  <si>
    <t>PCIE_SYS_MGR_nvme_010</t>
  </si>
  <si>
    <t>nvme dl 固件升级Copy all firmware image to a controller for future update:spl升级</t>
  </si>
  <si>
    <t>sudo nvme sudu dl /dev/nvme0 -t 1 -f  spl_image.bin</t>
  </si>
  <si>
    <t>PCIE_SYS_MGR_nvme_011</t>
  </si>
  <si>
    <t>nvme dl 固件升级Copy all firmware image to a controller for future update:cfg升级</t>
  </si>
  <si>
    <t>sudo nvme sudu dl /dev/nvme0 -t 3 -f  cfg_image.bin</t>
  </si>
  <si>
    <t>PCIE_SYS_MGR_nvme_012</t>
  </si>
  <si>
    <t>nvme dl 固件升级Copy all firmware image to a controller for future update:fw升级</t>
  </si>
  <si>
    <t>sudo nvme sudu dl /dev/nvme0 -t 5 -f fw_image.bin</t>
  </si>
  <si>
    <t>PCIE_SYS_MGR_nvme_013</t>
  </si>
  <si>
    <t>nvme dl 固件升级Copy all firmware image to a controller for future update:升级日志</t>
  </si>
  <si>
    <t>sudo nvme sudu dl /dev/nvme0 -t 7 -f log_image.bin</t>
  </si>
  <si>
    <t>有疑问--执行缺少-f，需要沟通下---可以用header文件替代</t>
  </si>
  <si>
    <t>PCIE_SYS_MGR_nvme_014</t>
  </si>
  <si>
    <t>nvme ul 固件升级Retrieves data information from the flash to a specified file:help 信息查看</t>
  </si>
  <si>
    <t>sudo nvme sudu ul /dev/nvme0 -h</t>
  </si>
  <si>
    <t>PCIE_SYS_MGR_nvme_015</t>
  </si>
  <si>
    <t>nvme ul 固件升级Retrieves data information from the flash to a specified file:header升级</t>
  </si>
  <si>
    <t>sudo nvme sudu ul /dev/nvme0 -f imageheader.bin -s
或者
sudo nvme sudu ul /dev/nvme0 -i 0 -o 0 -x 4096 -f header.bin -s</t>
  </si>
  <si>
    <t>有疑问--只能读取4096长度的数据，而spl和fw等分区都是大于4096的数据，不应该都读取出来吗？需要问下文军！--目前有限制，已经提改进单，功能可正常测试</t>
  </si>
  <si>
    <t>PCIE_SYS_MGR_nvme_016</t>
  </si>
  <si>
    <t>nvme ul 固件升级Retrieves data information from the flash to a specified file:spl升级</t>
  </si>
  <si>
    <t>sudo nvme sudu ul /dev/nvme0 -i 1 -o 0 -x 4096 -f spl.bin -s</t>
  </si>
  <si>
    <t>PCIE_SYS_MGR_nvme_017</t>
  </si>
  <si>
    <t>nvme ul 固件升级Retrieves data information from the flash to a specified file:cfg升级</t>
  </si>
  <si>
    <t>sudo nvme sudu ul /dev/nvme0 -i 3 -o 0 -x 4096 -f cfg.bin -s</t>
  </si>
  <si>
    <t>PCIE_SYS_MGR_nvme_018</t>
  </si>
  <si>
    <t>nvme ul 固件升级Retrieves data information from the flash to a specified file:fw升级</t>
  </si>
  <si>
    <t>sudo nvme sudu ul /dev/nvme0 -i 5 -o 0 -x 4096 -f fw.bin -s</t>
  </si>
  <si>
    <t>PCIE_SYS_MGR_nvme_019</t>
  </si>
  <si>
    <t>nvme ul 固件升级Retrieves data information from the flash to a specified file:升级日志</t>
  </si>
  <si>
    <t>sudo nvme sudu ul /dev/nvme0 -i 7</t>
  </si>
  <si>
    <t>PCIE_SYS_MGR_nvme_020</t>
  </si>
  <si>
    <t>nvme erase
Erases the specified flash area:
help 信息查看</t>
  </si>
  <si>
    <t>sudo nvme sudu erase /dev/nvme0 -h</t>
  </si>
  <si>
    <t>PCIE_SYS_MGR_nvme_021</t>
  </si>
  <si>
    <t>nvme erase
Erases the specified flash area:
header 擦除</t>
  </si>
  <si>
    <t>sudo nvme sudu erase /dev/nvme0 -r 0 -s
	-x 4096</t>
  </si>
  <si>
    <t>PCIE_SYS_MGR_nvme_022</t>
  </si>
  <si>
    <t>nvme erase
Erases the specified flash area:
spl 擦除</t>
  </si>
  <si>
    <t>sudo nvme sudu erase /dev/nvme0 -r 1 -s
	-x 8192</t>
  </si>
  <si>
    <t>PCIE_SYS_MGR_nvme_023</t>
  </si>
  <si>
    <t>nvme erase
Erases the specified flash area:
cfg擦除</t>
  </si>
  <si>
    <t>sudo nvme sudu erase /dev/nvme0 -r 3 -s
	-x 4096</t>
  </si>
  <si>
    <t>PCIE_SYS_MGR_nvme_024</t>
  </si>
  <si>
    <t>nvme erase
Erases the specified flash area:
fw擦除</t>
  </si>
  <si>
    <t>sudo nvme sudu erase /dev/nvme0 -r 5 -s
	-x 4096</t>
  </si>
  <si>
    <t>PCIE_SYS_MGR_nvme_025</t>
  </si>
  <si>
    <t>nvme erase
Erases the specified flash area:
擦除log</t>
  </si>
  <si>
    <t>sudo nvme sudu erase /dev/nvme0 -r 7 -s
	-x 4096</t>
  </si>
  <si>
    <t>PCIE_SYS_MGR_nvme_026</t>
  </si>
  <si>
    <t>nvme fwlogs:
Displays or saves the log information about the device:
help信息查看</t>
  </si>
  <si>
    <t>读写不能和clear同时执行</t>
  </si>
  <si>
    <t>sudo nvme sudu fwlogs /dev/nvme0 -h</t>
  </si>
  <si>
    <t>PCIE_SYS_MGR_nvme_027</t>
  </si>
  <si>
    <t>nvme fwlogs:
Displays or saves the log information about the device:
读log</t>
  </si>
  <si>
    <t>sudo nvme sudu fwlogs /dev/nvme0 -o 0 -s 4096 -f log.bin</t>
  </si>
  <si>
    <t>PCIE_SYS_MGR_nvme_028</t>
  </si>
  <si>
    <t>nvme fwlogs:
Displays or saves the log information about the device:
写log</t>
  </si>
  <si>
    <t>sudo nvme sudu fwlogs /dev/nvme0 -w "abcdefg" -s 7 -o 256</t>
  </si>
  <si>
    <t>PCIE_SYS_MGR_nvme_029</t>
  </si>
  <si>
    <t>nvme fwlogs:
Displays or saves the log information about the device:
清除log</t>
  </si>
  <si>
    <t>sudo nvme sudu fwlogs /dev/nvme0 -c - o 256 -s 1024</t>
  </si>
  <si>
    <t>PCIE_SYS_MGR_nvme_030</t>
  </si>
  <si>
    <t>nvme reset:
The reset function is used for hardware and software：
help信息查看</t>
  </si>
  <si>
    <t>sudo nvme sudu reset /dev/nvme0 -h</t>
  </si>
  <si>
    <t>PCIE_SYS_MGR_nvme_031</t>
  </si>
  <si>
    <t>nvme reset:
The reset function is used for hardware and software：
硬重启</t>
  </si>
  <si>
    <t>sudo nvme sudu reset /dev/nvme0 -e</t>
  </si>
  <si>
    <t>PCIE_SYS_MGR_nvme_032</t>
  </si>
  <si>
    <t>nvme reset:
The reset function is used for hardware and software：
软重启</t>
  </si>
  <si>
    <t>sudo nvme sudu reset /dev/nvme0 -s</t>
  </si>
  <si>
    <t>PCIE_SYS_MGR_nvme_033</t>
  </si>
  <si>
    <t>nvme cfg:
Output read configuration information.</t>
  </si>
  <si>
    <t>sudo nvme sudu cfg /dev/nvme0 -o 0 -s 4096 -f cfg.bin</t>
  </si>
  <si>
    <t>也是只能读取出4096字节数据，是否应该全部读取出？问文军---ul已经提改进单，cfg问下</t>
  </si>
  <si>
    <t>PCIE_SYS_MGR_nvme_034</t>
  </si>
  <si>
    <t>nvme show:
The detailed device information is displayed:
help信息查看</t>
  </si>
  <si>
    <t>sudo nvme sudu show /dev/nvme0 -h</t>
  </si>
  <si>
    <t>PCIE_SYS_MGR_nvme_035</t>
  </si>
  <si>
    <t>nvme show:
The detailed device information is displayed:
display the device's information(all)</t>
  </si>
  <si>
    <t>sudo nvme sudu show /dev/nvme0 -a</t>
  </si>
  <si>
    <t>PCIE_SYS_MGR_nvme_036</t>
  </si>
  <si>
    <t>nvme show:
The detailed device information is displayed:
didsplay the flash table information.</t>
  </si>
  <si>
    <t>sudo nvme sudu show /dev/nvme0 -f</t>
  </si>
  <si>
    <t>PCIE_SYS_MGR_nvme_037</t>
  </si>
  <si>
    <t>nvme show:
The detailed device information is displayed:
display SPI flash information.</t>
  </si>
  <si>
    <t>sudo nvme sudu show /dev/nvme0 -s</t>
  </si>
  <si>
    <t>PCIE_SYS_MGR_nvme_038</t>
  </si>
  <si>
    <t>nvme show:
The detailed device information is displayed:
displaychip hardware.  //目前信息为空为正常（目前没有真实芯片信息）</t>
  </si>
  <si>
    <t>sudo nvme sudu show /dev/nvme0 -w</t>
  </si>
  <si>
    <t>PCIE_SYS_MGR_nvme_039</t>
  </si>
  <si>
    <t>nvme ltssm:
Description: Repeat polling and display the Status of the LTSSM(Link Training and Status State Machine):
help信息查看</t>
  </si>
  <si>
    <t>nvme sudu ltssm /dev/nvme0 -h</t>
  </si>
  <si>
    <t>PCIE_SYS_MGR_nvme_040</t>
  </si>
  <si>
    <t>nvme ltssm:
Description: Repeat polling and display the Status of the LTSSM(Link Training and Status State Machine):
读（默认）</t>
  </si>
  <si>
    <t>1）nvme sudu ltssm /dev/nvme0 -p 6                         #读取port 6的ltssm状态信息，使用默认time和step</t>
  </si>
  <si>
    <t>PCIE_SYS_MGR_nvme_041</t>
  </si>
  <si>
    <t>nvme ltssm:
Description: Repeat polling and display the Status of the LTSSM(Link Training and Status State Machine):
读（指定次数1次）</t>
  </si>
  <si>
    <t>nvme sudu ltssm /dev/nvme0 -p 6 -s 1</t>
  </si>
  <si>
    <t>PCIE_SYS_MGR_nvme_042</t>
  </si>
  <si>
    <t>nvme ltssm:
Description: Repeat polling and display the Status of the LTSSM(Link Training and Status State Machine):
读（指定次数100次）</t>
  </si>
  <si>
    <t>nvme sudu ltssm /dev/nvme0 -p 6 -t 1000 -s 100 #循环读取port 6的ltssm状态信息，循环100次，每次间隔为1s</t>
  </si>
  <si>
    <t>PCIE_SYS_MGR_nvme_043</t>
  </si>
  <si>
    <t>nvme mem:
Description: Read or write data from/to the specified memory address:
help 信息查看</t>
  </si>
  <si>
    <t>1）nvme sudu mem /dev/nvme0 -h</t>
  </si>
  <si>
    <t>PCIE_SYS_MGR_nvme_044</t>
  </si>
  <si>
    <t>nvme mem:
Description: Read or write data from/to the specified memory address:
读操作</t>
  </si>
  <si>
    <t>1）nvme sudu mem /dev/nvme0 -r 0x7F0000 -s 100 -o test.txt  #从0x7F0000处读取100个字节的数据，并将结果保存到test.txt中</t>
  </si>
  <si>
    <t>PCIE_SYS_MGR_nvme_045</t>
  </si>
  <si>
    <t>nvme mem:
Description: Read or write data from/to the specified memory address:
写操作</t>
  </si>
  <si>
    <t>1）nvme sudu mem /dev/nvme0 -w 0x7F0000 -c 0x12345678     #在0x7F0000地址处写入数据0x12345678
2）写完后读取100个字节的数据，查看文件对应0x7F0000地址的value应该为0想2345678</t>
  </si>
  <si>
    <t>PCIE_SYS_MGR_nvme_046</t>
  </si>
  <si>
    <t>nvme counters:（底层没实现，可以暂时不测）
Description: Display or clear error counters of the specifiey port:
help信息查看</t>
  </si>
  <si>
    <t>nvme sudu counters /dev/nvme0 -h</t>
  </si>
  <si>
    <t>PCIE_SYS_MGR_nvme_047</t>
  </si>
  <si>
    <t>nvme counters:（底层没实现，可以暂时不测）
Description: Display or clear error counters of the specifiey port:
读显示erro信息</t>
  </si>
  <si>
    <t>1）nvme sudu counters /dev/nvme0 -p 6           #读取port 6的error信息</t>
  </si>
  <si>
    <t>PCIE_SYS_MGR_nvme_048</t>
  </si>
  <si>
    <t>nvme counters:（底层没实现，可以暂时不测）
Description: Display or clear error counters of the specifiey port:
清除error信息</t>
  </si>
  <si>
    <t>1）nvme sudu counters /dev/nvme0 -p 6 -c 1    #清除port 6的error信息</t>
  </si>
  <si>
    <t>底层未实现</t>
  </si>
  <si>
    <t>PCIE_SYS_MGR_nvme_049</t>
  </si>
  <si>
    <t>nvme perf:
Description: Performance monitoring and display:
help信息查看</t>
  </si>
  <si>
    <t>1）nvme sudu perf /dev/nvme0 -h</t>
  </si>
  <si>
    <t>PCIE_SYS_MGR_nvme_050</t>
  </si>
  <si>
    <t>nvme perf:
Description: Performance monitoring and display:
读（默认16次）</t>
  </si>
  <si>
    <t>1）nvme sudu perf /dev/nvme0 -p 6                           #读取port 6的流量状态信息，使用默认time和step</t>
  </si>
  <si>
    <t>PCIE_SYS_MGR_nvme_051</t>
  </si>
  <si>
    <t>nvme perf:
Description: Performance monitoring and display:
读（指定1次）</t>
  </si>
  <si>
    <t>1）nvme sudu perf /dev/nvme0 -p 6  -s 1</t>
  </si>
  <si>
    <t>PCIE_SYS_MGR_nvme_052</t>
  </si>
  <si>
    <t>nvme perf:
Description: Performance monitoring and display:
循环读（100次）</t>
  </si>
  <si>
    <t>1）nvme sudu perf /dev/nvme0 -p 6 -t 1000 -s 100   #循环读取port 6的流量状态信息，循环100次，每次间隔为1s</t>
  </si>
  <si>
    <t>PCIE_SYS_MGR_nvme_053</t>
  </si>
  <si>
    <t>nvme pcicfg:
Description: Display pcie configurations for various ports and devices.（4KB配置信息保存到文件中，终端仅显示前64byte的信息）:
help信息查看</t>
  </si>
  <si>
    <t>nvme sudu pcicfg /dev/nvme0 -h</t>
  </si>
  <si>
    <t>PCIE_SYS_MGR_nvme_054</t>
  </si>
  <si>
    <t>nvme pcicfg:
Description: Display pcie configurations for various ports and devices.（4KB配置信息保存到文件中，终端仅显示前64byte的信息）:
读取不同port的配置信息</t>
  </si>
  <si>
    <t>示例1）nvme sudu pcicfg /dev/nvme0 -p 6 -o test.txt		#读取port 6的配置信息，并将结果保存到test.txt文件中</t>
  </si>
  <si>
    <t>PCIE_SYS_MGR_nvme_055</t>
  </si>
  <si>
    <t>nvme pcicfg:
Description: Display pcie configurations for various ports and devices.（4KB配置信息保存到文件中，终端仅显示前64byte的信息）:
读取ntb对应的iDSP配置信息</t>
  </si>
  <si>
    <t>1）nvme sudu pcicfg /dev/nvme0 -n 2 -f 1			#读取ntb 2对应的iDSP配置信息</t>
  </si>
  <si>
    <t>PCIE_SYS_MGR_nvme_056</t>
  </si>
  <si>
    <t>nvme pcicfg:
Description: Display pcie configurations for various ports and devices.（4KB配置信息保存到文件中，终端仅显示前64byte的信息）:
读取ntb的配置信息息</t>
  </si>
  <si>
    <t>1）nvme sudu pcicfg /dev/nvme0 -n 2 -f 0			#读取ntb 2的配置信息息</t>
  </si>
  <si>
    <t>PCIE_SYS_MGR_nvme_057</t>
  </si>
  <si>
    <t>nvme pcicfg:
Description: Display pcie configurations for various ports and devices.（4KB配置信息保存到文件中，终端仅显示前64byte的信息）:
读取dma对应的iDSP配置信息</t>
  </si>
  <si>
    <t>1）nvme sudu pcicfg /dev/nvme0 -d 0 -f 1			#读取dma 0对应的iDSP配置信息</t>
  </si>
  <si>
    <t>PCIE_SYS_MGR_nvme_058</t>
  </si>
  <si>
    <t>nvme pcicfg:
Description: Display pcie configurations for various ports and devices.（4KB配置信息保存到文件中，终端仅显示前64byte的信息）:
读取dma的配置信息</t>
  </si>
  <si>
    <t>1）nvme sudu pcicfg /dev/nvme0 -d 0 -f 0			#读取dma 0的配置信息</t>
  </si>
  <si>
    <t>PCIE_SYS_MGR_nvme_059</t>
  </si>
  <si>
    <t>nvme pcicfg:
Description: Display pcie configurations for various ports and devices.（4KB配置信息保存到文件中，终端仅显示前64byte的信息）:
读取MEP对应的iDSP配置信息</t>
  </si>
  <si>
    <t>1））nvme sudu pcicfg /dev/nvme0 -m 0 -f 1			#读取MEP 0对应的iDSP配置信息</t>
  </si>
  <si>
    <t>PCIE_SYS_MGR_nvme_060</t>
  </si>
  <si>
    <t>nvme pcicfg:
Description: Display pcie configurations for various ports and devices.（4KB配置信息保存到文件中，终端仅显示前64byte的信息）:
读取MEP的配置信息</t>
  </si>
  <si>
    <t>7）nvme sudu pcicfg /dev/nvme0 -m 0 -f 0			#读取MEP 0的配置信息</t>
  </si>
  <si>
    <t>PCIE_SYS_MGR_nvme_061</t>
  </si>
  <si>
    <t>nvme port:
Description: Display the detailed port information：
help 信息查看</t>
  </si>
  <si>
    <t>nvme sudu port /dev/nvme0 -h</t>
  </si>
  <si>
    <t>PCIE_SYS_MGR_nvme_062</t>
  </si>
  <si>
    <t>nvme port:
Description: Display the detailed port information：
显示USP端口详细信息</t>
  </si>
  <si>
    <t>1）nvme sudu port /dev/nvme0 -p 4				#显示USP port 4的详细信息</t>
  </si>
  <si>
    <t>PCIE_SYS_MGR_nvme_063</t>
  </si>
  <si>
    <t>nvme port:
Description: Display the detailed port information：
显示DSP端口详细信息</t>
  </si>
  <si>
    <t>1）nvme sudu port /dev/nvme0 -p 6				#显示DSP port 6的详细信息</t>
  </si>
  <si>
    <t>PCIE_SYS_MGR_nvme_064</t>
  </si>
  <si>
    <t>nvme gpiopin:
Description: Display the detailed gpiopin information:
help信息查看</t>
  </si>
  <si>
    <t>nvme sudu gpiopin /dev/nvme0 -h</t>
  </si>
  <si>
    <t>PCIE_SYS_MGR_nvme_065</t>
  </si>
  <si>
    <t>nvme gpiopin:
Description: Display the detailed gpiopin information:
显示GPIO信息</t>
  </si>
  <si>
    <t>1）nvme sudu gpiopin /dev/nvme0 -g 0					#获取gpio 0的信息</t>
  </si>
  <si>
    <t>PCIE_SYS_MGR_nvme_066</t>
  </si>
  <si>
    <t>nvme gpiopin:
Description: Display the detailed gpiopin information:
设置GPIO输出direction</t>
  </si>
  <si>
    <t>2）nvme sudu gpiopin /dev/nvme0 -s 0 -d 1				
#设置gpio 0的方向为output输出方向</t>
  </si>
  <si>
    <t>PCIE_SYS_MGR_nvme_067</t>
  </si>
  <si>
    <t>nvme gpiopin:
Description: Display the detailed gpiopin information:
设置输出模式</t>
  </si>
  <si>
    <t>3）nvme sudu gpiopin /dev/nvme0 -s 0 -o 3				
#设置gpio 0的输出模式为push-pull</t>
  </si>
  <si>
    <t>PCIE_SYS_MGR_nvme_068</t>
  </si>
  <si>
    <t>nvme gpiopin:
Description: Display the detailed gpiopin information:
设置gpio outdata</t>
  </si>
  <si>
    <t>4）nvme sudu gpiopin /dev/nvme0 -s 0 -a 1				#设置gpio 0的输出为1</t>
  </si>
  <si>
    <t>PCIE_SYS_MGR_nvme_069</t>
  </si>
  <si>
    <t>nvme gpiopin:
Description: Display the detailed gpiopin information:
设置 portmap</t>
  </si>
  <si>
    <t>PCIE_SYS_MGR_nvme_070</t>
  </si>
  <si>
    <t>nvme gpiopin:
Description: Display the detailed gpiopin information:
清除中断</t>
  </si>
  <si>
    <t>6）nvme sudu gpiopin /dev/nvme0 -i 0 -c 0				#清除gpio 0的中断</t>
  </si>
  <si>
    <t>清除的结果如可以看吗？
或者如何判断清除成功？</t>
  </si>
  <si>
    <t>PCIE_SYS_MGR_nvme_071</t>
  </si>
  <si>
    <t>nvme gpiopin:
Description: Display the detailed gpiopin information:
中断使能及类型设置</t>
  </si>
  <si>
    <t>7）nvme sudu gpiopin /dev/nvme0 -i 0 -e 1 -t 1			#使能gpio 0中断，设置gpio 0中断为EDGE_TRIGGER边沿触发</t>
  </si>
  <si>
    <t>PCIE_SYS_MGR_nvme_072</t>
  </si>
  <si>
    <t>nvme gpiopin:
Description: Display the detailed gpiopin information:
设置中断polarity</t>
  </si>
  <si>
    <t>8）nvme sudu gpiopin /dev/nvme0 -i 0 -p 0				#设置gpio 0中断极性为LOW_OR_FALL_EDGE</t>
  </si>
  <si>
    <t>PCIE_SYS_MGR_nvme_073</t>
  </si>
  <si>
    <t>nvme gpiopin:
Description: Display the detailed gpiopin information:
bothedge中断只能</t>
  </si>
  <si>
    <t>9）nvme sudu gpiopin /dev/nvme0 -i 0 -b 1				#使能gpio 0为double-edge中断</t>
  </si>
  <si>
    <t>PCIE_SYS_MGR_nvme_074</t>
  </si>
  <si>
    <t>nvme gpiopin:
Description: Display the detailed gpiopin information:
mask及去抖动中断</t>
  </si>
  <si>
    <t>10）nvme sudu gpiopin /dev/nvme0 -i 0 -k 1 -n 1			#设置gpio 0中断为Mask状态，同时使能中断去抖动</t>
  </si>
  <si>
    <t>PCIE_SYS_MGR_nvme_075</t>
  </si>
  <si>
    <t>nvme serdesinfo: （底层没实现，可以暂时不测）
Description: Retrieves the status and debug information related to the PCIe SerDes wrapper：
help 信息查看</t>
  </si>
  <si>
    <t>nvme sudu serdesinfo /dev/nvme0 -h</t>
  </si>
  <si>
    <t>PCIE_SYS_MGR_nvme_076</t>
  </si>
  <si>
    <t>1）nvme sudu serdesinfo /dev/nvme0 -p 6		
#显示port 6端口的Serdes信息</t>
  </si>
  <si>
    <t>PCIE_SYS_MGR_nvme_077</t>
  </si>
  <si>
    <t>sgpioinfo:（底层没实现，可以暂时不测）
Description: Display the current state of the SGPIO:
help信息查看</t>
  </si>
  <si>
    <t>nvme sudu sgpioinfo -h</t>
  </si>
  <si>
    <t>PCIE_SYS_MGR_nvme_078</t>
  </si>
  <si>
    <t>sgpioinfo:（底层没实现，可以暂时不测）
Description: Display the current state of the SGPIO:
显示LED闪烁模式</t>
  </si>
  <si>
    <t>/</t>
  </si>
  <si>
    <t>PCIE_SYS_MGR_nvme_079</t>
  </si>
  <si>
    <t>sgpioinfo:（底层没实现，可以暂时不测）
Description: Display the current state of the SGPIO:
显示SGPIO配置</t>
  </si>
  <si>
    <t>基础功能自验/异常覆盖</t>
  </si>
  <si>
    <t>点灯（I2C接口）</t>
  </si>
  <si>
    <t>根据bdf获取stationXportX</t>
  </si>
  <si>
    <t>PCIE_SYS_MGR_PMU_001</t>
  </si>
  <si>
    <t>测试探针、PMU功能是否默认开启</t>
  </si>
  <si>
    <t>pmu相关，可以使用上层工具nvme中的perf命令</t>
  </si>
  <si>
    <t>PCIE_SYS_MGR_PMU_002</t>
  </si>
  <si>
    <t>PMU开启状态下，性能监测数据是否异常</t>
  </si>
  <si>
    <t>PCIE_SYS_MGR_PMU_003</t>
  </si>
  <si>
    <t>PMU关闭状态下，性能监测数据是否异常</t>
  </si>
  <si>
    <t>PCIE_SYS_MGR_PMU_004</t>
  </si>
  <si>
    <t>使switch其中一个模块buffer填满，探针是否正常检测</t>
  </si>
  <si>
    <t>云渡没有这个功能，云渡h才有</t>
  </si>
  <si>
    <t>PCIE_SYS_MGR_PMU_005</t>
  </si>
  <si>
    <t>Performance</t>
  </si>
  <si>
    <t>PMU开启/关闭状态下，NVME读写性能对比，差异是否较大</t>
  </si>
  <si>
    <t>PCIE_SYS_MGR_PMU_006</t>
  </si>
  <si>
    <t>PMU开启/关闭状态下，网卡（如：mlx5）吞吐、带宽、延迟性能对比，差异是否较大</t>
  </si>
  <si>
    <t>PCIE_SYS_MGR_PVT_001</t>
  </si>
  <si>
    <t>PVT传感器--温度范围，不同温度下监控数据</t>
  </si>
  <si>
    <t>可以通过加风扇和不加风扇进行结果读取对比</t>
  </si>
  <si>
    <t>不加风扇，温度高
加风扇，温度略低于不加风扇的结果</t>
  </si>
  <si>
    <t>PCIE_SYS_MGR_PVT_002</t>
  </si>
  <si>
    <t>PVT传感器--温度精度，温度变化以小数点1位，2位，3位等进行测试</t>
  </si>
  <si>
    <t>30分钟，1小时，4小时，8小时分别监控pvt数据，数据有浮动变化</t>
  </si>
  <si>
    <t>PCIE_SYS_MGR_PVT_003</t>
  </si>
  <si>
    <t>PVT传感器--电压范围，不同供电电压下的监控数据</t>
  </si>
  <si>
    <t>电压和硬件有关，可以找硬件同事协助，看是否能升压进行测试</t>
  </si>
  <si>
    <t>PCIE_SYS_MGR_PVT_004</t>
  </si>
  <si>
    <t>PVT传感器--电压精度，电压变化以小数点1位，2位，3位等进行测试</t>
  </si>
  <si>
    <t>可以找硬件同事升压或者一直监控，数据会变化</t>
  </si>
  <si>
    <t>PCIE_SYS_MGR_PVT_005</t>
  </si>
  <si>
    <t>PVT传感器--7个station以及Crossbar和Processer子系统的PVT数据收集验证</t>
  </si>
  <si>
    <t>pvt get 0 0 0 0 获取ctrl 0 温度 station0 vm_chn0的数据
pvt get 0 0 1 0 获取ctrl 0 温度 station1 vm_chn0的数据
pvt get 0 1 6 0 获取ctrl 0 电压 station6 vm_chn0的数据
pvt get 1 0/1 0 0 获取ctrl 1 温度 crossbar/processor vm_chn0的数据</t>
  </si>
  <si>
    <t>PCIE_SYS_MGR_PVT_006</t>
  </si>
  <si>
    <t>PVT传感器--时钟偏移范围，检测芯片在不同频率下的时钟偏移情况，以确保时序的一致性</t>
  </si>
  <si>
    <t>PD和芯片有关，一般不会动</t>
  </si>
  <si>
    <t>PCIE_SYS_MGR_PVT_007</t>
  </si>
  <si>
    <t>PVT传感器--温度过高过低报警测试</t>
  </si>
  <si>
    <t>温枪持续升温，pvt每隔1s监控一次</t>
  </si>
  <si>
    <t>需要温枪辅助</t>
  </si>
  <si>
    <t>PCIE_SYS_MGR_PVT_008</t>
  </si>
  <si>
    <t>PVT传感器--电压过高过低报警测试</t>
  </si>
  <si>
    <t>PCIE_SYS_MGR_PVT_009</t>
  </si>
  <si>
    <t>PVT传感器--校准前后测试对比，验证校准是否生效</t>
  </si>
  <si>
    <t xml:space="preserve"> 目前只能测试命令是否正常执行，</t>
  </si>
  <si>
    <t>PCIE_SYS_MGR_PVT_010</t>
  </si>
  <si>
    <t>PVT传感器--温度变化响应时间测试</t>
  </si>
  <si>
    <t>温枪持续升温，pvt每隔500ms，1s监控一次</t>
  </si>
  <si>
    <t>PCIE_SYS_MGR_PVT_011</t>
  </si>
  <si>
    <t>PVT传感器--电压变化响应时间测试</t>
  </si>
  <si>
    <t>分别每隔500ms，1s进行检测一次</t>
  </si>
  <si>
    <t>PCIE_SYS_MGR_PVT_012</t>
  </si>
  <si>
    <t>PVT传感器--时钟变化响应时间测试</t>
  </si>
  <si>
    <t>PCIE_SYS_MGR_PVT_013</t>
  </si>
  <si>
    <t>PVT传感器--switch进行压力测试，传感器监控数据无异常</t>
  </si>
  <si>
    <t>PCIE_SYS_MGR_PVT_014</t>
  </si>
  <si>
    <t>PVT传感器--长时间稳定性测试，传感器是否异常崩溃</t>
  </si>
  <si>
    <t>1、8小时压测，30分钟、1小时、4小时、8小时分别getall查看传感器监控的温度
2、24小时压测，10分钟、30分钟、1小时、4小时、8小时、14小时、24小时分别getall查看所有传感器数据</t>
  </si>
  <si>
    <t>计划在长时间压测的时候进行测试</t>
  </si>
  <si>
    <t>PCIE_SYS_MGR_PVT_015</t>
  </si>
  <si>
    <t>PVT传感器--临界温度（低温和高温）稳定性测试，传感器是否异常</t>
  </si>
  <si>
    <t>PCIE_SYS_MGR_PVT_016</t>
  </si>
  <si>
    <t>PVT传感器--临界电压（低压和高压）稳定性测试，传感器是否异常</t>
  </si>
  <si>
    <t>PCIECV通过与执行率</t>
  </si>
  <si>
    <t>通过率</t>
  </si>
  <si>
    <t>失败率</t>
  </si>
  <si>
    <t>阻塞率</t>
  </si>
  <si>
    <t>周报模板计算，请勿修改</t>
  </si>
  <si>
    <t>猛龙</t>
  </si>
  <si>
    <t>ENUM</t>
  </si>
  <si>
    <t>说明</t>
  </si>
  <si>
    <t>一个station内DSPs验证工作形态</t>
  </si>
  <si>
    <t>4个控制器x16 x8 x4 x4</t>
  </si>
  <si>
    <t>参考微芯的port0 x16 port1 4x port2 x2 port3 x2 port4  x4</t>
  </si>
  <si>
    <t>级别说明：</t>
  </si>
  <si>
    <t>0：暂时没有看到用法
1：推测可能会用到
2.   会用到相对小众，相对低lane数会用到
3： 确有用或计划用</t>
  </si>
  <si>
    <t>x8 x8</t>
  </si>
  <si>
    <t>x8usp x8dsp</t>
  </si>
  <si>
    <t>多上行，gpu互联可能会用</t>
  </si>
  <si>
    <t>x8dsp x8usp</t>
  </si>
  <si>
    <t>x8uspwithnt x8usp</t>
  </si>
  <si>
    <t>资源池化，双控存储可能会用</t>
  </si>
  <si>
    <t>x8uspwithnt x8dsp</t>
  </si>
  <si>
    <t>资源池化</t>
  </si>
  <si>
    <t>x8usp x4dsp x4dsp</t>
  </si>
  <si>
    <t>服务器架构存储，DPU存储，多上行</t>
  </si>
  <si>
    <t>x8uspwithnt x4dsp x4dsp</t>
  </si>
  <si>
    <t>资源池化（insight）</t>
  </si>
  <si>
    <t>x8 x4 x2 x2</t>
  </si>
  <si>
    <t>x8 x2 x2 x2 x2</t>
  </si>
  <si>
    <t>x8usp x2dsp x2dsp x2dsp x2dsp</t>
  </si>
  <si>
    <t>双控存储，多上行接口x24上行</t>
  </si>
  <si>
    <t>U8C2222(fanout覆盖)</t>
  </si>
  <si>
    <t>x8dsp x2dsp x2dsp x2dsp x2dsp</t>
  </si>
  <si>
    <t>x8的ssd和x2的ssd混用，可能性比较低</t>
  </si>
  <si>
    <t>C82222</t>
  </si>
  <si>
    <t>x4uspwithnt x4dsp x8dsp</t>
  </si>
  <si>
    <t>x4dsp x4dsp x8usp</t>
  </si>
  <si>
    <t>x4 x2 x2 x8</t>
  </si>
  <si>
    <t>x2 x2 x4 x8</t>
  </si>
  <si>
    <t>x4uspwithnt x4dsp x4dsp x4dsp</t>
  </si>
  <si>
    <t>x4 x4 x4 x2 x2</t>
  </si>
  <si>
    <t>x4 x4 x2 x2 x4</t>
  </si>
  <si>
    <t>x4 x4 x2 x2 x2 x2</t>
  </si>
  <si>
    <t>x4dsp x4dsp x2dsp x2dsp x2dsp x2dsp</t>
  </si>
  <si>
    <t>服务器架构存储，DPU存储，性能盘x4ssd加容量盘x2ssd</t>
  </si>
  <si>
    <t>C442222</t>
  </si>
  <si>
    <t>x4 x2 x2 x4 x4</t>
  </si>
  <si>
    <t>x4 x2 x2 x4 x2 x2</t>
  </si>
  <si>
    <t>x4 x2 x2 x2 x2 x4</t>
  </si>
  <si>
    <t>x4 x2 x2 x2 x2 x2 x2</t>
  </si>
  <si>
    <t>x2 x2 x4 x4 x4</t>
  </si>
  <si>
    <t>x2 x2 x4 x4 x2 x2</t>
  </si>
  <si>
    <t>x2 x2 x4 x2 x2 x4</t>
  </si>
  <si>
    <t>x2 x2 x4 x2 x2 x2 x2</t>
  </si>
  <si>
    <t>x2 x2 x2 x2 x8</t>
  </si>
  <si>
    <t>x2dsp x2dsp x2dsp x2dsp x8usp</t>
  </si>
  <si>
    <t>U8C2222</t>
  </si>
  <si>
    <t>x2dsp x2dsp x2dsp x2dsp x8dsp</t>
  </si>
  <si>
    <t>x2 x2 x2 x2 x4 x4</t>
  </si>
  <si>
    <t>x2dsp x2dsp x2dsp x2dsp x4dsp x4dsp</t>
  </si>
  <si>
    <t>C222244</t>
  </si>
  <si>
    <t>x2 x2 x2 x2 x4 x2 x2</t>
  </si>
  <si>
    <t>x2 x2 x2 x2 x2 x2 x4</t>
  </si>
  <si>
    <t>x2 x2 x2 x2 x2 x2 x2 x2</t>
  </si>
  <si>
    <t>x2dsp x2dsp x2dsp x2dsp x2dsp x2dsp x2dsp x2dsp</t>
  </si>
  <si>
    <t>服务器架构存储，双控存储架构存储，DPU存储</t>
  </si>
  <si>
    <t>C22222222</t>
  </si>
  <si>
    <t>ASIC端口形态 基础模式</t>
  </si>
  <si>
    <t>1托1形态，端口：S0 USP S4 DSP 都是X16</t>
  </si>
  <si>
    <t>USP（X16）</t>
  </si>
  <si>
    <t>U16C88</t>
  </si>
  <si>
    <t>右7，支持热插拔，左7不支持（可以支持USP上行），14个slot都是X16</t>
  </si>
  <si>
    <t>U16C844A</t>
  </si>
  <si>
    <t>AIC X4配置：例如，station4PORT3=X4 AIC也是可配的，MCIO还是X8的，实际为X4；一个station最多配置2个端口，X8/X8，X8/X4，X4/X4</t>
  </si>
  <si>
    <t>U16C844B</t>
  </si>
  <si>
    <t>硬盘架是 4个X4，是用的一个station的4个port，还是用的X16 port</t>
  </si>
  <si>
    <t>最后一个statin是X8，是X8还是2个X4</t>
  </si>
  <si>
    <t>盘架（X16）如何连接待确认</t>
  </si>
  <si>
    <t>U8C16</t>
  </si>
  <si>
    <t>USP（X8）</t>
  </si>
  <si>
    <t>U8C8</t>
  </si>
  <si>
    <t>U8C88</t>
  </si>
  <si>
    <t>U8C844A</t>
  </si>
  <si>
    <t>U8C844B</t>
  </si>
  <si>
    <t>U8C4444</t>
  </si>
  <si>
    <t>U4C16</t>
  </si>
  <si>
    <t>USP（X4）</t>
  </si>
  <si>
    <t>U4C444</t>
  </si>
  <si>
    <t>可以实现U4C44</t>
  </si>
  <si>
    <t>U4C88</t>
  </si>
  <si>
    <t>U4C844A</t>
  </si>
  <si>
    <t>U4C844B</t>
  </si>
  <si>
    <t>U4C4444</t>
  </si>
  <si>
    <t>接盘架，类似全X4</t>
  </si>
  <si>
    <t>形态</t>
  </si>
  <si>
    <t>支持情况</t>
  </si>
  <si>
    <t>服务器配置x16，只能协商到x4；
主机只能协商到x4---待更换其他主机验证</t>
  </si>
  <si>
    <t>没有出对应版本，目前只有基础模式</t>
  </si>
  <si>
    <t>待验证</t>
  </si>
  <si>
    <t>服务器、主机配置x8，启动没有linkup</t>
  </si>
  <si>
    <t>正常可用</t>
  </si>
  <si>
    <t>PCIe_SYS_网络_001</t>
  </si>
  <si>
    <t>设备枚举功能</t>
  </si>
  <si>
    <t>1、准备多款不同型号的网卡设备</t>
  </si>
  <si>
    <t>1、同static内及不同station内均接入多款不同的网卡
2、设备上电启动成功后通过lspci -vvnn查看网卡枚举信息信息，检查bar空间信息以及lnkSta状态中Speed、Width</t>
  </si>
  <si>
    <t>1、lspci查看网卡数量与实际插入的网卡数量一致
2、查看网卡lnkSta状态下Speed、Width与实际station dsp信息一致，TrErr与 Train状态均为“-”</t>
  </si>
  <si>
    <t>现有多款网卡</t>
  </si>
  <si>
    <t>PCIe_SYS_网络_002</t>
  </si>
  <si>
    <t>驱动加载卸载</t>
  </si>
  <si>
    <t>1、操作系统已安装对应网卡的驱动模块</t>
  </si>
  <si>
    <t>1、设备启动后，lspci -vvnn命令查看网卡中对应“Kernel driver in use”信息中的驱动信息
2、ip link查看对应网口识别信息
3、rmmod 对应网卡驱动,并lspci -vvnn查看网卡驱动信息；ip link查看网口识别信息
4、modporbe 对应网卡驱动，并lspci -vvnn查看网卡驱动信息；ip link查看网口识别信息
5、重复步骤多次(10次及以上）</t>
  </si>
  <si>
    <t>1、网卡正常加载驱动信息，ip link可以查看到对应网口信息
2、rmmod驱动后，lspci -vvnn可以查看到网卡，但无“Kernel driver in use”信息，ip link无法查看到网口信息
3、重新加载驱动后，lspci -vvnn可以查看到网卡对应使用的驱动信息，ip link可以查看到对应网口
4、重复多次后，PCIe Switch、网卡状态正常（lspci、ip link等信息正常）</t>
  </si>
  <si>
    <t>PCIe_SYS_网络_003</t>
  </si>
  <si>
    <t>同网卡下PF通信测试</t>
  </si>
  <si>
    <t>1、网卡支持多PF，将两个PF连接交换机同一二层LAN下或直连
2、使网口link状态为up</t>
  </si>
  <si>
    <t>1、lspci -vvvnn查看网卡多PF信息，ip link确认对应网口信息
2、将网口配置到不同的namespaces内，并配置同网段不同主机IP地址
3、在两个namespace内使用netperf进行业务测试(netperf的五种业务类型均覆盖测试）</t>
  </si>
  <si>
    <t>1、测试netperf各类业务类型均正常
2、检查网卡及PCIe Switch PCIe信息均正常</t>
  </si>
  <si>
    <t>PCIe_SYS_网络_004</t>
  </si>
  <si>
    <t>跨网卡下PF通信测试</t>
  </si>
  <si>
    <t>1、接入两张网卡，将两张网卡的PF0连接交换机同一二层LAN下或直连
2、使网口link状态为up</t>
  </si>
  <si>
    <t>1、lspci -vvvnn查看每张网卡PF信息，ip link确认对应网口信息
2、将网口配置到不同的namespaces内，并配置同网段不同主机地址
3、在两个namespace内使用netperf进行业务测试(netperf的五种业务类型均覆盖测试）</t>
  </si>
  <si>
    <t>PCIe_SYS_网络_005</t>
  </si>
  <si>
    <t>同PF下的不同VF通信测试</t>
  </si>
  <si>
    <t>1、使网口link状态为up
2、虚机镜像内安装对应网口驱动模块
3、网卡支持sr-iov,且须在bios中开启sr-iov、vt-d、iommu,grub中配置iommu_intel=on,iommu=pt并update grub（如果是adm cpu将iommu_intel改为iommu_amd）</t>
  </si>
  <si>
    <t>1、在宿主机网卡同一个PF下创建2个VF PCIe设备，lspci -vvnn查看创建的VF的信息，ip link确认对应网口信息
2、将2个VF PCIe设备VFIO直通的方式分别加入到两个虚拟机中
3、在两个虚拟机内查看VF PCIe设备的lspci -vvnn信息，并检查ip link状态
4、在两个虚机内为VF接口配置IP地址，使用netperf进行业务测试(netperf的五种业务类型均覆盖测试）</t>
  </si>
  <si>
    <t>1、在宿主机上创建VF后，lspci -vvnn可以查看到VF PCIe信息，且无异常，ip link命令可以看到对应vf网口信息
2、在虚机内lspci -vvnn可以查看到对应的VF PCIe信息，且无异常，ip link命令可以看到对应vf网口信息
3、测试netperf各类业务类型均正常，检查网卡及PCIe Switch PCIe信息均正常</t>
  </si>
  <si>
    <t>PCIe_SYS_网络_006</t>
  </si>
  <si>
    <t>同网卡不同PF下的VF通信测试</t>
  </si>
  <si>
    <t>1、在宿主机网卡不同PF下各自创建1个VF PCIe设备，lspci -vvnn查看创建的VF的信息，ip link确认对应网口信息
2、将2个VF PCIe设备VFIO直通的方式分别加入到两个虚拟机中
3、在两个虚拟机内查看VF PCIe设备的lspci -vvnn信息，并检查ip link状态
4、在两个虚机内为VF接口配置IP地址，使用netperf进行业务测试(netperf的五种业务类型均覆盖测试）</t>
  </si>
  <si>
    <t>PCIe_SYS_网络_007</t>
  </si>
  <si>
    <t>不同网卡下VF通信测试</t>
  </si>
  <si>
    <t>1、将被测网口连接交换机同一LAN下或直连，并使网口link状态为up
2、虚机镜像内安装对应网口驱动模块
3、网卡支持sr-iov,须在bios中开启sr-iov、vt-d、iommu,grub中配置iommu_intel=on,iommu=pt并update grub（如果是adm cpu将iommu_intel改为iommu_amd）</t>
  </si>
  <si>
    <t>1、在宿主机两个网卡不同PF下各自创建1个VF PCIe设备，lspci -vvnn查看创建的VF的信息，ip link确认对应网口信息
2、将2个VF PCIe设备VFIO直通的方式分别加入到两个虚拟机中
3、在两个虚拟机内查看VF PCIe设备的lspci -vvnn信息，并检查ip link状态
4、在两个虚机内为VF接口配置IP地址，使用netperf进行业务测试(netperf的五种业务类型均覆盖测试）</t>
  </si>
  <si>
    <t>PCIe_SYS_网络_008</t>
  </si>
  <si>
    <t>绑定DPDK驱动进行FWD测试</t>
  </si>
  <si>
    <t>1、主机安装dpdk驱动模块（mlx网卡只需要安装对应MOFED驱动）
2、安装dpdk testpmd测试模块
3、接入一张网卡、将两个被测网口连接交换机同一LAN下/或直连，并使网口link状态为up</t>
  </si>
  <si>
    <t>1、在主机上选择两块网卡各自其中一个接口
2、将选择的网口进行dpdk驱动绑定（mlx网卡只需要安装对应MOFED驱动）
3、lspci -vvnn查看对绑定dpdk驱动的PCIe设备信息 
4、使用dpdk testpmd测试工具进行跑流测试</t>
  </si>
  <si>
    <t>1、lspci查看网卡PCIe信息正常，驱动信息为igb_uio或vfio-pci或其他dpdk驱动类型
2、使用dpdk testpmd测试后，观察流量转发正常，网卡PCIe信息未出现异常</t>
  </si>
  <si>
    <t>PCIe_SYS_网络_009</t>
  </si>
  <si>
    <t>多张在同一NUMA下Switch间网卡通信测试</t>
  </si>
  <si>
    <t>1、使用两张PCIe Switch设备，且插入同一个NUMA的PCIe插槽中
2、每个PCIe Switch设备插入网卡设备，并将被测网口连接交换机同一LAN下或直连，并使网口link状态为up</t>
  </si>
  <si>
    <t>1、lspci -tv与lspci -vvnn查看每块网卡PCIe信息，ip link确认对应网口信息
2、每块网卡选择一个网口配置到不同的namespaces内，并配置同网段不同主机地址
3、在两个namespace内使用netperf进行业务测试(netperf的五种业务类型均覆盖测试）</t>
  </si>
  <si>
    <t>1、lspci查看网卡在对应的PCIe Switch下，且PCIe状态正常，ip link命令可以看到对应网口信息
2、测试netperf各类业务类型均正常，检查网卡及PCIe Switch PCIe信息均正常</t>
  </si>
  <si>
    <t>PCIe_SYS_网络_010</t>
  </si>
  <si>
    <t>多张在不同NUMA下Switch间网卡通信测试</t>
  </si>
  <si>
    <t>1、使用两张PCIe Switch设备，且插入不同NUMA的PCIe插槽中
2、每个PCIe Switch设备插入网卡设备，并将被测网口连接交换机同一LAN下并使网口link状态为up</t>
  </si>
  <si>
    <t>PCIe_SYS_网络_011</t>
  </si>
  <si>
    <t>PCIe Switch级联网卡通信测试</t>
  </si>
  <si>
    <t>1、使用两张PCIe Switch设备，将其中一个PCIe Switch插到另一个PCIe Switch上
2、每个PCIe Switch设备插入网卡设备，并将被测网口连接交换机同一LAN下或直连，并使网口link状态为up</t>
  </si>
  <si>
    <t>PCIe_SYS_网络_012</t>
  </si>
  <si>
    <t>同station下C88模式两网卡通信测试</t>
  </si>
  <si>
    <t>1、在同一PCIe Switch的Station内按照C88组合方式插入对应网卡
2、将被测网口连接交换机同一LAN下或直连，并使网口link状态为up</t>
  </si>
  <si>
    <t>1、lspci查看网卡在对应的PCIe Switch下，且PCIe状态正常，对应PCIe Switch上连接的网卡lnkSta状态下Width值符合C88组合下对应lane信息，ip link命令可以看到对应网口信息
2、测试netperf各类业务类型均正常，检查网卡及PCIe Switch PCIe信息均正常</t>
  </si>
  <si>
    <t>PCIe_SYS_网络_013</t>
  </si>
  <si>
    <t>同station下C844模式三网卡通信测试</t>
  </si>
  <si>
    <t>1、在同一PCIe Switch的Station内按照C844组合方式插入对应网卡
2、将被测网口连接交换机同一LAN下或直连，并使网口link状态为up</t>
  </si>
  <si>
    <t>1、lspci -tv与lspci -vvnn查看每块网卡PCIe信息，ip link确认对应网口信息
2、每块网卡选择一个网口配置到不同的namespaces内，并配置同网段不同主机地址
3、在每个namespace内使用netperf进行全互联业务测试(netperf的五种业务类型均覆盖测试）</t>
  </si>
  <si>
    <t>1、lspci查看网卡在对应的PCIe Switch下，且PCIe状态正常，对应PCIe Switch上连接的网卡lnkSta状态下Width值符合C844组合下对应lane信息，ip link命令可以看到对应网口信息
2、测试netperf各类业务类型均正常，检查网卡及PCIe Switch PCIe信息均正常</t>
  </si>
  <si>
    <t>844A/B</t>
  </si>
  <si>
    <t>PCIe_SYS_网络_014</t>
  </si>
  <si>
    <t>同station下C4444模式四网卡通信测试</t>
  </si>
  <si>
    <t>1、在同一PCIe Switch的Station内按照C4444组合方式插入对应网卡
2、将被测网口连接交换机同一LAN下或直连，并使网口link状态为up</t>
  </si>
  <si>
    <t>1、lspci查看网卡在对应的PCIe Switch下，且PCIe状态正常，对应PCIe Switch上连接的网卡lnkSta状态下Width值符合C4444组合下对应lane信息，ip link命令可以看到对应网口信息
2、测试netperf各类业务类型均正常，检查网卡及PCIe Switch PCIe信息均正常</t>
  </si>
  <si>
    <t>需要4块网卡</t>
  </si>
  <si>
    <t>PCIe_SYS_网络_015</t>
  </si>
  <si>
    <t>跨station x16 port与x16 port间通信测试</t>
  </si>
  <si>
    <t>1、在同一PCIe Switch的两个Station内各插入x16的网卡
2、将被测网口连接交换机同一LAN下或直连，并使网口link状态为up</t>
  </si>
  <si>
    <t>1、lspci查看网卡在对应的PCIe Switch下，且PCIe状态正常，对应lnkSta状态下Width值均为“x16”，ip link命令可以看到对应网口信息
2、测试netperf各类业务类型均正常，检查网卡及PCIe Switch PCIe信息均正常</t>
  </si>
  <si>
    <t>PCIe_SYS_网络_016</t>
  </si>
  <si>
    <t xml:space="preserve">1、PCIe Switch下接入两张网卡、一块NVMe盘
2、将被测网口连接交换机同一LAN下或直连，并使网口link状态为up
3、虚拟机安装FIO 2.1.10版本
4、虚机镜像内安装对应网口驱动模块
5、网卡支持sr-iov,须在bios中开启sr-iov、vt-d、iommu,grub中配置iommu_intel=on,iommu=pt并update grub（如果是adm cpu将iommu_intel改为iommu_amd）
</t>
  </si>
  <si>
    <t>PCIe_SYS_网络_017</t>
  </si>
  <si>
    <t>1、PCIe Switch下接入两张支持RDMA的网卡、一块NVMe盘
2、将被测网口连接交换机同一LAN下或直连，并使网口link状态为up
3、虚拟机安装FIO 2.1.10版本
4、虚机镜像内安装对应网口驱动模块
5、网卡支持sr-iov,须在bios中开启sr-iov、vt-d、iommu,grub中配置iommu_intel=on,iommu=pt并update grub（如果是adm cpu将iommu_intel改为iommu_amd）</t>
  </si>
  <si>
    <t>PCIe_SYS_网络_018</t>
  </si>
  <si>
    <t>IB网络测试</t>
  </si>
  <si>
    <t>1、PCIe Switch下接入两张支持IB网络的网卡
2、将被测网口连接IB网络交换机同一LAN下或直连，并使网口link状态为up
3、安装对应IB网卡的OFED驱动，并将IB网卡设置为IB模式</t>
  </si>
  <si>
    <t>1、lspci -tv与lspci -vvnn查看每块网卡PCIe信息，ip link确认对应网口信息
2、每块网卡选择一个网口配置到不同的namespaces内，并配置同网段不同主机地址
3、在两个namespace内使用IB Perftest测试工具进行ib_send_bw、ib_send_lat测试</t>
  </si>
  <si>
    <t>1、测试IB各类业务类型均正常，检查网卡及PCIe Switch PCIe信息均正常</t>
  </si>
  <si>
    <t>PCIe_SYS_网络_019</t>
  </si>
  <si>
    <t>RoCEv2网络测试</t>
  </si>
  <si>
    <t>1、PCIe Switch下接入两张支持RoCEv2网络的网卡
2、将被测网口连接IB网络交换机同一LAN下或直连，并使网口link状态为up
3、安装对应IB网卡的OFED驱动，并将IB网卡设置为ETH模式</t>
  </si>
  <si>
    <t>PCIe_SYS_网络_020</t>
  </si>
  <si>
    <t>网卡开启卸载功能测试</t>
  </si>
  <si>
    <t xml:space="preserve">1、网卡需支持checksum、TSO等卸载能力
2、将被测网口连接网络交换机同一LAN下或直连，并使网口link状态为up
</t>
  </si>
  <si>
    <t>1、lspci -tv与lspci -vvnn查看每块网卡PCIe信息，ip link确认对应网口信息
2、在被测网卡上开启checksum、TSO等卸载功能,ethtool -k &lt;dev_name&gt;查看卸载后的状态信息
3、每块网卡选择一个网口配置到不同的namespaces内，并配置同网段不同主机地址
4、在两个namespace内使用netperf进行全互联业务测试(netperf的五种业务类型均覆盖测试）
5、在被测网卡上关闭checksum、TSO等卸载功能,ethtool -k &lt;dev_name&gt;查看卸载后的状态信息
6、重复步骤4</t>
  </si>
  <si>
    <t>1、网卡部分功能卸载显示开启成功
2、测试netperf各类业务类型均正常，检查网卡及PCIe Switch PCIe信息均正常
3、关闭checksum、TSO等卸载功能,ethtool -k &lt;dev_name&gt;查看对应功能关闭成功
4、测试netperf各类业务类型均正常，检查网卡及PCIe Switch PCIe信息均正常
5、开启checksum、TSO等卸载功能,ethtool -k &lt;dev_name&gt;查看对应功能开启成功
6、测试netperf各类业务类型均正常，检查网卡及PCIe Switch PCIe信息均正常</t>
  </si>
  <si>
    <t>PCIe_SYS_网络_021</t>
  </si>
  <si>
    <t>网卡多队列测试</t>
  </si>
  <si>
    <t xml:space="preserve">1、网卡支持多队列并开启多队列
2、将被测网口连接网络交换机同一LAN下或直连，并使网口link状态为up
</t>
  </si>
  <si>
    <t>1、lspci -tv与lspci -vvnn查看每块网卡PCIe信息，ip link确认对应网口信息
2、每块网卡选择一个网口配置到不同的namespaces内，并配置同网段不同主机地址
3、在两个namespace内使用iperf进行业务测试,并指定使用-P 数量要求大于最大网卡最大队列数</t>
  </si>
  <si>
    <t>1、测试iperf流量正常，检查网卡及PCIe Switch PCIe信息均正常
2、查看/proc/interrupts中对应网卡队列中对应均正常产生中断计数</t>
  </si>
  <si>
    <t>PCIe_SYS_网络_022</t>
  </si>
  <si>
    <t>修改PCIe ARI参数</t>
  </si>
  <si>
    <t>1、主机安装setpci工具
2、网卡每PF下支持VF数量大于8
3、将被测网口连接网络交换机同一LAN下或直连，并使网口link状态为up</t>
  </si>
  <si>
    <t>1、lspci -tv与lspci -vvnn查看每块网卡PCIe信息，ip link确认对应网口信息
2、将对应网卡的PCIe DSP设备ARI功能关闭 setpci -s &lt;dsp_bdf_id&gt; 0x68+0x28.b=0，lspci -vvnns查看DSP PCIe ARIFwd控制信息
3、每块网卡选择一个网口创建VF，并VFIO直通配置到不同的虚机内，并配置同网段不同主机地址
4、在两个虚机内使用netperf进行全互联业务测试(netperf的五种业务类型均覆盖测试）
5、关闭虚机，删除VF后修改对应网卡的PCIe DSP设备ARI功能开启 setpci -s &lt;dsp_bdf_id&gt; 0x68+0x28.b=20,lspci -vvnns查看DSP PCIe ARIFwd控制信息
6、重复步骤3-4，且创建每个PF创建16个VF,每个虚机均使用最后的VF，记录两次测试结果</t>
  </si>
  <si>
    <t>1、对应操作步骤2，lspci查看DSP PCIe ARIFwd信息为“ARIFwd-”
2、对应操作步骤4，测试netperf各类业务类型均正常，检查网卡及PCIe Switch PCIe信息均正常
3、对应操作步骤5，lspci查看DSP PCIe ARIFwd信息为“ARIFwd+”
4、对应操作步骤6，测试netperf各类业务类型均正常，检查网卡及PCIe Switch PCIe信息均正常，且netperf测试数据基本相近</t>
  </si>
  <si>
    <t>网卡vf能力超过8个，switch不支持创建
mlx4可以测试</t>
  </si>
  <si>
    <t>PCIe_SYS_网络_023</t>
  </si>
  <si>
    <t>修改PCIe MPS值</t>
  </si>
  <si>
    <t>1、主机安装setpci工具
2、将被测网口连接网络交换机同一LAN下或直连，并使网口link状态为up</t>
  </si>
  <si>
    <t>1、lspci -tv与lspci -vvnn查看每块网卡PCIe信息，记录当前网卡MaxPayload值信息，ip link确认对应网口信息
2、每块网卡选择一个网口配置到不同的namespaces内，并配置同网段不同主机地址
3、在两个namespace内使用netperf进行全互联业务测试(netperf的五种业务类型均覆盖测试）
4、grub中添加pci=pcie_bus_safe参数并update grub，启动后lspci -vvnn查看MaxPayload值信息
5、重复步骤2-3，记录两次测试结果
6、grub中修改pci=pcie_bus_tune_off参数并update grub，启动后lspci -vvnn查看MaxPayload值信息
7、重复步骤2-3，记录测试结果
8、grub中修改pci=pcie_bus_perf参数并update grub，启动后lspci -vvnn查看MaxPayload值信息
9、重复步骤2-3，记录测试结果
10、grub中修改pci=pcie_bus_peer2peer参数并update grub，启动后lspci -vvnn查看MaxPayload值信息
11、重复步骤2-3，记录测试结果</t>
  </si>
  <si>
    <t>1、对应操作步骤1-3，测试netperf各类业务类型均正常，检查网卡及PCIe Switch PCIe信息均正常
2、对应操作步骤4、6、8、10，lspci -vvnn查看到对应网卡的MaxPayload值修改成功
3、对比操作步骤5、7、9、11，测试netperf各类业务类型均正常，检查网卡及PCIe Switch PCIe信息均正常，且MaxPayload值在大的情况下测试结果不低于MaxPayload值小的情况下的测试结果</t>
  </si>
  <si>
    <t>PCIe_SYS_网络_024</t>
  </si>
  <si>
    <t>修改PCIe speed值</t>
  </si>
  <si>
    <t>1、lspci -tv与lspci -vvnn查看每块网卡PCIe信息，记录当前网卡LnkSta: Speed值信息，ip link确认对应网口信息
2、setpci修改LnkSta: Speed值，修改为小于步骤1中的值,启动后lspci -vvnn查看LnkSta: Speed值信息
3、每块网卡选择一个网口配置到不同的namespaces内，并配置同网段不同主机地址
4、在两个namespace内使用netperf进行全互联业务测试(netperf的五种业务类型均覆盖测试）
5、setpci修改LnkSta: Speed值，修改为步骤1中的值,启动后lspci -vvnn查看LnkSta: Speed值信息
6、重复步骤3-4，记录两次测试结果</t>
  </si>
  <si>
    <t>1、对应操作步骤1-4，测试netperf各类业务类型均正常，检查网卡及PCIe Switch PCIe信息均正常
2、对应操作步骤5，lspci -vvnn查看到对应网卡的LnkSta: Speed值修改成功
3、对比操作步骤6，测试netperf各类业务类型均正常，检查网卡及PCIe Switch PCIe信息均正常，且LnkSta: Speed值在大的情况下测试结果不低于LnkSta: Speed值小的情况下的测试结果</t>
  </si>
  <si>
    <t>PCIe_SYS_网络_025</t>
  </si>
  <si>
    <t>组播广播、巨帧、异常包、各类常见报文长度测试等</t>
  </si>
  <si>
    <t>1、构建流量模型，涉及组播、广播、报文结构异常、巨帧、小于64字节的帧、以及常见的一些长度的报文
2、将被测网口连接网络交换机同一LAN下或直连，并使网口link状态为up</t>
  </si>
  <si>
    <t>1、lspci -tv与lspci -vvnn查看每块网卡PCIe信息，ip link确认对应网口信息
2、每块网卡选择一个网口配置到不同的namespaces内，并配置同网段不同主机地址
3、在两个namespace内使用一些发包工具或包回放工具发送构建好的流量模型，发包速率可设置为最大</t>
  </si>
  <si>
    <t>1、网口1发包时可以在网口2通过tcpdump抓取到对应的报文信息
2、打流过程中以及打流一段时间后(1个小时），检查网卡及PCIe Switch PCIe信息均正常</t>
  </si>
  <si>
    <t>PCIe_SYS_网络_026</t>
  </si>
  <si>
    <t>打流过程中进行pcie reset操作</t>
  </si>
  <si>
    <t>1、将被测网口连接网络交换机同一LAN下或直连，并使网口link状态为up</t>
  </si>
  <si>
    <t>1、lspci -tv与lspci -vvnn查看每块网卡PCIe信息，ip link确认对应网口信息
2、每块网卡选择一个网口配置到不同的namespaces内，并配置同网段不同主机地址
3、在两个namespace内使用netperf进行全互联业务持续打流测试(netperf的五种业务类型均覆盖测试）
4、打流过程中进行echo 1 &gt; /sys/bus/pci/devices/&lt;pcie_bfd_id&gt;/reset操作，观察网卡及PCIe Switch PCIe信息以及系统日志信息
5、重复步骤100多次</t>
  </si>
  <si>
    <t>1、测试netperf各类业务类型均正常，检查网卡及PCIe Switch PCIe信息均正常
2、多次reset PCIe设备后，重新打流，流量均可以正常转发，检查网卡及PCIe Switch PCIe信息均正常</t>
  </si>
  <si>
    <t>网卡进行reset操作时，会出发kdump，一段时间后出现异常，在主机及竞品上均现象一致
20241111：4块网卡，对其中2块iperf3和netperf打流，5s开始间隔，reset 2个网卡，往后依次递增1s进行操作80多次</t>
  </si>
  <si>
    <t>PCIe_SYS_网络_027</t>
  </si>
  <si>
    <t>将网卡中断与CPU绑定信息修改</t>
  </si>
  <si>
    <t>1、lspci -tv与lspci -vvnn查看每块网卡PCIe信息，ip link确认对应网口信息
2、每块网卡选择一个网口配置到不同的namespaces内，并配置同网段不同主机地址
3、在两个namespace内使用netperf进行全互联业务持续打流测试(netperf的五种业务类型均覆盖测试）
4、打流过程中修改对应网卡队列的/proc/irq/&lt;中断ID&gt;/smp_affinity中的CPU，观察流量转发情况以及网卡及PCIe Switch PCIe信息以及系统日志信息
5、重复步骤2-4多次</t>
  </si>
  <si>
    <t>1、测试netperf各类业务类型均正常，检查网卡及PCIe Switch PCIe信息均正常
2、多次修改中断对应的CPU后，流量震荡可恢复，检查网卡及PCIe Switch PCIe信息均正常</t>
  </si>
  <si>
    <t>PCIe_SYS_网络_028</t>
  </si>
  <si>
    <t>网卡最大VF测试</t>
  </si>
  <si>
    <t>1、插入2块支持2*128VF数量的网卡，如E810
2、将被测网口连接网络交换机同一LAN下或直连，并使网口link状态为up</t>
  </si>
  <si>
    <t>1、lspci -tv与lspci -vvnn查看每块网卡PCIe信息，ip link确认对应网口信息
2、将每块网卡的PF上创建最大2*128个VF,两块网卡即2*2*128个VF,挑选不同网卡PF中的第一个、中间任一个、最后一个VF，共计12个VF,分别VFIO直通到不同的虚机中
3、分别选择不同网卡VF的两台虚机进行netperf业务测试，则共计6对netperf测试</t>
  </si>
  <si>
    <t>1、测试netperf各类业务类型均正常，检查网卡及PCIe Switch PCIe信息均正常</t>
  </si>
  <si>
    <t>网卡vf能力超过8个，switch不支持创建
yunduv已解决
YUNDU-1118</t>
  </si>
  <si>
    <t>PCIe_SYS_网络_029</t>
  </si>
  <si>
    <t>吞吐性能测试</t>
  </si>
  <si>
    <t>1、选择两张400G网卡，将被测网口连接网络交换机同一LAN下或直连，并使网口link状态为up</t>
  </si>
  <si>
    <t>1、lspci -tv与lspci -vvnn查看每块网卡PCIe信息，ip link确认对应网口信息
2、每块网卡选择一个网口配置到不同的namespaces内，并配置同网段不同主机地址
3、在两个namespace内使用perftest工具ib_send_bw工具进行双向吞吐性能测试</t>
  </si>
  <si>
    <t>1、测试iperf正常，检查网卡及PCIe Switch PCIe信息均正常
2、记录ib_send_bw测试结果，测试结果与网卡实际速率无较大差异</t>
  </si>
  <si>
    <t>PCIe_SYS_网络_030</t>
  </si>
  <si>
    <t>最大PPS性能测试</t>
  </si>
  <si>
    <t>1、lspci -tv与lspci -vvnn查看每块网卡PCIe信息，ip link确认对应网口信息
2、每块网卡选择一个网口配置到不同的namespaces内，并配置同网段不同主机地址
3、在两个namespace内使用perftest工具ib_send_bw工具并指定-s参数，进行双向并发报文性能测试</t>
  </si>
  <si>
    <t>1、测试iperf正常，检查网卡及PCIe Switch PCIe信息均正常
2、记录ib_send_bw测试结果中pps数量信息</t>
  </si>
  <si>
    <t>PCIe_SYS_网络_031</t>
  </si>
  <si>
    <t>延迟性能测试</t>
  </si>
  <si>
    <t>1、lspci -tv与lspci -vvnn查看每块网卡PCIe信息，ip link确认对应网口信息
2、每块网卡选择一个网口配置到不同的namespaces内，并配置同网段不同主机地址
3、在两个namespace内使用perftest工具ib_send_lat工具进行双向并发报文延迟性能测试</t>
  </si>
  <si>
    <t>1、测试iperf正常，检查网卡及PCIe Switch PCIe信息均正常
2、记录ib_send_lat测试结果中延迟信息</t>
  </si>
  <si>
    <t>PCIe_SYS_网络_032</t>
  </si>
  <si>
    <t>基础稳定性压力测试</t>
  </si>
  <si>
    <t>1、选择两张400G网卡，将被测网口连接网络交换机同一LAN下或直连，并使网口link状态为up
2、记录环境信息，如lspci、dmesg等信息</t>
  </si>
  <si>
    <t>1、lspci -tv与lspci -vvnn查看每块网卡PCIe信息，ip link确认对应网口信息
2、每块网卡选择一个网口配置到不同的namespaces内，并配置同网段不同主机地址
3、在两个namespace内使用进行持续打流测试，同时使用netperf五种类型流量，并且同时建立NVMe over TCP场景，从initiator上进行fio测试</t>
  </si>
  <si>
    <t>1、保持业务长时间运行，运行过程中监控lspci信息、dmesg信息
2、使用sar或者nmon等工具监控网络、存储使用情况</t>
  </si>
  <si>
    <t>依赖CX7网卡</t>
  </si>
  <si>
    <t>20240912日基础模式用例执行情况说明</t>
  </si>
  <si>
    <t>已执行</t>
  </si>
  <si>
    <t>未执行</t>
  </si>
  <si>
    <t>未执行或阻塞情况统计</t>
  </si>
  <si>
    <t>可执行待执行</t>
  </si>
  <si>
    <t>程序错误</t>
  </si>
  <si>
    <t>需要调研</t>
  </si>
  <si>
    <t>firmware</t>
  </si>
  <si>
    <t>其他</t>
  </si>
  <si>
    <t>总计</t>
  </si>
  <si>
    <t>阻塞类别</t>
  </si>
  <si>
    <t>阻塞情况说明</t>
  </si>
  <si>
    <t>很多fanout端口形态不支持导致用例阻塞，如现在每个station只能配置一个port，无法配置多个port。USP只支持配置x16，建链协商只有x4，x2或x1。</t>
  </si>
  <si>
    <t>执行有报错，同类型或同工具用例无法执行</t>
  </si>
  <si>
    <t>训练器在ASIC上没有调通，需要训练器的用例无法执行</t>
  </si>
  <si>
    <t>只有一个分析仪，资源紧张，主要研发在用，导致需要用分析仪的用例阻塞</t>
  </si>
  <si>
    <t>部分用例需要调研环境部署和具体测试方法</t>
  </si>
  <si>
    <t>需要firmware版本支持，相关配置没开，或者没有调通</t>
  </si>
  <si>
    <r>
      <rPr>
        <strike/>
        <sz val="11"/>
        <color rgb="FF000000"/>
        <rFont val="微软雅黑"/>
        <family val="2"/>
        <charset val="134"/>
      </rPr>
      <t>USP不能配置为X8 controller</t>
    </r>
    <r>
      <rPr>
        <sz val="11"/>
        <color rgb="FF000000"/>
        <rFont val="微软雅黑"/>
        <family val="2"/>
        <charset val="134"/>
      </rPr>
      <t xml:space="preserve">
usp配置的c88</t>
    </r>
  </si>
  <si>
    <r>
      <rPr>
        <u/>
        <sz val="10"/>
        <color rgb="FF267EF0"/>
        <rFont val="微软雅黑"/>
        <family val="2"/>
        <charset val="134"/>
      </rPr>
      <t>YUNDUSIL-193</t>
    </r>
  </si>
  <si>
    <r>
      <rPr>
        <sz val="11"/>
        <color rgb="FF000000"/>
        <rFont val="微软雅黑"/>
        <family val="2"/>
        <charset val="134"/>
      </rPr>
      <t xml:space="preserve">1、配置7个station，所有station都配置成4个x4 port，
</t>
    </r>
    <r>
      <rPr>
        <sz val="11"/>
        <color rgb="FFDE3C36"/>
        <rFont val="微软雅黑"/>
        <family val="2"/>
        <charset val="134"/>
      </rPr>
      <t xml:space="preserve">2、station1 </t>
    </r>
    <r>
      <rPr>
        <sz val="11"/>
        <color rgb="FF000000"/>
        <rFont val="微软雅黑"/>
        <family val="2"/>
        <charset val="134"/>
      </rPr>
      <t>port0为USP，剩下所有port作为DSP
3、DSP连接 lanes 匹配的Gen5 NVME盘</t>
    </r>
  </si>
  <si>
    <r>
      <rPr>
        <u/>
        <sz val="10"/>
        <color rgb="FF267EF0"/>
        <rFont val="微软雅黑"/>
        <family val="2"/>
        <charset val="134"/>
      </rPr>
      <t>YUNDUSIL-61</t>
    </r>
  </si>
  <si>
    <r>
      <rPr>
        <sz val="11"/>
        <color rgb="FF000000"/>
        <rFont val="微软雅黑"/>
        <family val="2"/>
        <charset val="134"/>
      </rPr>
      <t>存储场景：FIO测试SSD的IO性能（psync）</t>
    </r>
    <r>
      <rPr>
        <sz val="11"/>
        <color rgb="FF000000"/>
        <rFont val="微软雅黑"/>
        <family val="2"/>
        <charset val="134"/>
      </rPr>
      <t>--单盘</t>
    </r>
  </si>
  <si>
    <r>
      <rPr>
        <sz val="11"/>
        <color rgb="FF000000"/>
        <rFont val="微软雅黑"/>
        <family val="2"/>
        <charset val="134"/>
      </rPr>
      <t>存储场景：多端口链路并发测试（psync）</t>
    </r>
    <r>
      <rPr>
        <sz val="11"/>
        <color rgb="FF000000"/>
        <rFont val="微软雅黑"/>
        <family val="2"/>
        <charset val="134"/>
      </rPr>
      <t>--多盘</t>
    </r>
  </si>
  <si>
    <r>
      <rPr>
        <sz val="11"/>
        <color rgb="FF000000"/>
        <rFont val="微软雅黑"/>
        <family val="2"/>
        <charset val="134"/>
      </rPr>
      <t>存储场景：多端口链路并发测试（libaio）</t>
    </r>
    <r>
      <rPr>
        <sz val="11"/>
        <color rgb="FF000000"/>
        <rFont val="微软雅黑"/>
        <family val="2"/>
        <charset val="134"/>
      </rPr>
      <t>--多盘</t>
    </r>
  </si>
  <si>
    <r>
      <rPr>
        <sz val="11"/>
        <color rgb="FF000000"/>
        <rFont val="微软雅黑"/>
        <family val="2"/>
        <charset val="134"/>
      </rPr>
      <t>1、进行预处理（顺序读写2遍做顺序测试性能，随机读写2遍之后做随机测试性能）
2、顺序写带宽：fio -direct=1 -iodepth=64 -rw=write -ioengine=libaio -bs=</t>
    </r>
    <r>
      <rPr>
        <b/>
        <sz val="11"/>
        <color rgb="FF000000"/>
        <rFont val="微软雅黑"/>
        <family val="2"/>
        <charset val="134"/>
      </rPr>
      <t>1024k</t>
    </r>
    <r>
      <rPr>
        <sz val="11"/>
        <color rgb="FF000000"/>
        <rFont val="微软雅黑"/>
        <family val="2"/>
        <charset val="134"/>
      </rPr>
      <t xml:space="preserve"> -size=10G -numjobs=</t>
    </r>
    <r>
      <rPr>
        <b/>
        <sz val="11"/>
        <color rgb="FF000000"/>
        <rFont val="微软雅黑"/>
        <family val="2"/>
        <charset val="134"/>
      </rPr>
      <t>1</t>
    </r>
    <r>
      <rPr>
        <sz val="11"/>
        <color rgb="FF000000"/>
        <rFont val="微软雅黑"/>
        <family val="2"/>
        <charset val="134"/>
      </rPr>
      <t xml:space="preserve"> -runtime=1000 -group_reporting -filename=/dev/vdb -name=Read_BW_Testing --output=/home/1024k_write
3、顺序读带宽：fio -direct=1 -iodepth=64 -rw=read -ioengine=libaio -bs=</t>
    </r>
    <r>
      <rPr>
        <b/>
        <sz val="11"/>
        <color rgb="FF000000"/>
        <rFont val="微软雅黑"/>
        <family val="2"/>
        <charset val="134"/>
      </rPr>
      <t>1024k</t>
    </r>
    <r>
      <rPr>
        <sz val="11"/>
        <color rgb="FF000000"/>
        <rFont val="微软雅黑"/>
        <family val="2"/>
        <charset val="134"/>
      </rPr>
      <t xml:space="preserve"> -size=10G -numjobs=</t>
    </r>
    <r>
      <rPr>
        <b/>
        <sz val="11"/>
        <color rgb="FF000000"/>
        <rFont val="微软雅黑"/>
        <family val="2"/>
        <charset val="134"/>
      </rPr>
      <t>1</t>
    </r>
    <r>
      <rPr>
        <sz val="11"/>
        <color rgb="FF000000"/>
        <rFont val="微软雅黑"/>
        <family val="2"/>
        <charset val="134"/>
      </rPr>
      <t xml:space="preserve"> -runtime=1000 -group_reporting -filename=/dev/vdb -name=Read_BW_Testing --output=/home/1024k_read
4、随机写IOPS:fio -direct=1 -iodepth=64 -rw=randwrite -ioengine=libaio -bs=</t>
    </r>
    <r>
      <rPr>
        <b/>
        <sz val="11"/>
        <color rgb="FF000000"/>
        <rFont val="微软雅黑"/>
        <family val="2"/>
        <charset val="134"/>
      </rPr>
      <t>4k</t>
    </r>
    <r>
      <rPr>
        <sz val="11"/>
        <color rgb="FF000000"/>
        <rFont val="微软雅黑"/>
        <family val="2"/>
        <charset val="134"/>
      </rPr>
      <t xml:space="preserve"> -size=10G -numjobs=4 -runtime=1000 -group_reporting -filename=/dev/vdb -name=Write_IOPS_Testing --output=/home/4k_randdwrite
5、随机读IOPS:fio -direct=1 -iodepth=64 -rw=randread -ioengine=libaio -bs=</t>
    </r>
    <r>
      <rPr>
        <b/>
        <sz val="11"/>
        <color rgb="FF000000"/>
        <rFont val="微软雅黑"/>
        <family val="2"/>
        <charset val="134"/>
      </rPr>
      <t>4k</t>
    </r>
    <r>
      <rPr>
        <sz val="11"/>
        <color rgb="FF000000"/>
        <rFont val="微软雅黑"/>
        <family val="2"/>
        <charset val="134"/>
      </rPr>
      <t xml:space="preserve"> -size=10G -numjobs=4 -runtime=1000 -group_reporting -filename=/dev/vdb -name=Read_IOPS_Testing  --output=/home/4k_randread
6、时延测试命令同上，参数不同
测试说明：以SPEC中定义参数为标准，如无定义，参照如下参数进行设置：
带宽IOPS测试参数---
Iodepth：128
numjobs：block为128k设置成1，block为4k设置成4
time：600s
direct：1
时延测试参数----
blocksize：4k
Iodepth：1
numjobs：1
7、不接switch单盘性能测试结果对比；
8、和竞品单盘性能测试结果对比；</t>
    </r>
  </si>
  <si>
    <r>
      <rPr>
        <b/>
        <sz val="11"/>
        <color rgb="FF000000"/>
        <rFont val="Helvetica Neue"/>
      </rPr>
      <t>master commit ID:</t>
    </r>
    <r>
      <rPr>
        <b/>
        <sz val="11"/>
        <color rgb="FF000000"/>
        <rFont val="Helvetica Neue"/>
      </rPr>
      <t xml:space="preserve">
def289a</t>
    </r>
  </si>
  <si>
    <r>
      <rPr>
        <sz val="11"/>
        <color rgb="FFFF0000"/>
        <rFont val="微软雅黑"/>
        <family val="2"/>
        <charset val="134"/>
      </rPr>
      <t>基础模式 MEP/NTB复位，配置空间nonsticky寄存器恢复默认值，BAR空间内存没清。DMA配置空间没恢复默认值，但是BAR空间内存清除了。（待陈昊确认）</t>
    </r>
    <r>
      <rPr>
        <sz val="11"/>
        <color rgb="FF000000"/>
        <rFont val="微软雅黑"/>
        <family val="2"/>
        <charset val="134"/>
      </rPr>
      <t xml:space="preserve">
合成模式 NTB/MEP pass  DMA non sticky寄存器没恢复默认值</t>
    </r>
  </si>
  <si>
    <r>
      <rPr>
        <u/>
        <sz val="11"/>
        <color rgb="FF267EF0"/>
        <rFont val="微软雅黑"/>
        <family val="2"/>
        <charset val="134"/>
      </rPr>
      <t>YUNDUSIL_28</t>
    </r>
  </si>
  <si>
    <r>
      <rPr>
        <u/>
        <sz val="11"/>
        <color rgb="FF267EF0"/>
        <rFont val="微软雅黑"/>
        <family val="2"/>
        <charset val="134"/>
      </rPr>
      <t>YUNDUSIL_27</t>
    </r>
  </si>
  <si>
    <r>
      <rPr>
        <u/>
        <sz val="10"/>
        <color rgb="FF267EF0"/>
        <rFont val="微软雅黑"/>
        <family val="2"/>
        <charset val="134"/>
      </rPr>
      <t>YUNDUSIL-50</t>
    </r>
  </si>
  <si>
    <r>
      <rPr>
        <u/>
        <sz val="10"/>
        <color rgb="FF267EF0"/>
        <rFont val="微软雅黑"/>
        <family val="2"/>
        <charset val="134"/>
      </rPr>
      <t>YUNDUSIL-50</t>
    </r>
  </si>
  <si>
    <r>
      <rPr>
        <u/>
        <sz val="10"/>
        <color rgb="FF267EF0"/>
        <rFont val="微软雅黑"/>
        <family val="2"/>
        <charset val="134"/>
      </rPr>
      <t>YUNDUSIL-49</t>
    </r>
  </si>
  <si>
    <r>
      <rPr>
        <u/>
        <sz val="10"/>
        <color rgb="FF267EF0"/>
        <rFont val="微软雅黑"/>
        <family val="2"/>
        <charset val="134"/>
      </rPr>
      <t>YUNDUSIL-72</t>
    </r>
  </si>
  <si>
    <r>
      <rPr>
        <sz val="11"/>
        <color rgb="FF000000"/>
        <rFont val="微软雅黑"/>
        <family val="2"/>
        <charset val="134"/>
      </rPr>
      <t>1. setpci设置MEP command寄存器Bus Master bit为0</t>
    </r>
    <r>
      <rPr>
        <sz val="11"/>
        <color rgb="FF000000"/>
        <rFont val="微软雅黑"/>
        <family val="2"/>
        <charset val="134"/>
      </rPr>
      <t xml:space="preserve">
2. 在FW中调用接口，主动发起Memory or IO访问主存</t>
    </r>
    <r>
      <rPr>
        <sz val="11"/>
        <color rgb="FF000000"/>
        <rFont val="微软雅黑"/>
        <family val="2"/>
        <charset val="134"/>
      </rPr>
      <t xml:space="preserve">
3. lspci查看MEP配置空间</t>
    </r>
  </si>
  <si>
    <r>
      <rPr>
        <u/>
        <sz val="10"/>
        <color rgb="FF267EF0"/>
        <rFont val="微软雅黑"/>
        <family val="2"/>
        <charset val="134"/>
      </rPr>
      <t>YUNDUSIL-49</t>
    </r>
  </si>
  <si>
    <r>
      <rPr>
        <u/>
        <sz val="10"/>
        <color rgb="FF267EF0"/>
        <rFont val="微软雅黑"/>
        <family val="2"/>
        <charset val="134"/>
      </rPr>
      <t>YUNDUSIL-51</t>
    </r>
  </si>
  <si>
    <r>
      <rPr>
        <u/>
        <sz val="10"/>
        <color rgb="FF267EF0"/>
        <rFont val="微软雅黑"/>
        <family val="2"/>
        <charset val="134"/>
      </rPr>
      <t>YUNDUSIL-51</t>
    </r>
  </si>
  <si>
    <r>
      <rPr>
        <u/>
        <sz val="10"/>
        <color rgb="FF267EF0"/>
        <rFont val="微软雅黑"/>
        <family val="2"/>
        <charset val="134"/>
      </rPr>
      <t>YUNDUSIL-51</t>
    </r>
  </si>
  <si>
    <r>
      <rPr>
        <u/>
        <sz val="10"/>
        <color rgb="FF267EF0"/>
        <rFont val="微软雅黑"/>
        <family val="2"/>
        <charset val="134"/>
      </rPr>
      <t>YUNDUSIL-51</t>
    </r>
  </si>
  <si>
    <r>
      <rPr>
        <strike/>
        <sz val="11"/>
        <color rgb="FF000000"/>
        <rFont val="微软雅黑"/>
        <family val="2"/>
        <charset val="134"/>
      </rPr>
      <t>dev2mem工具访问读写IO bar空间地址</t>
    </r>
    <r>
      <rPr>
        <sz val="11"/>
        <color rgb="FF000000"/>
        <rFont val="微软雅黑"/>
        <family val="2"/>
        <charset val="134"/>
      </rPr>
      <t xml:space="preserve">
需要通过iomap函数映射，或者其他mmio函数映射</t>
    </r>
  </si>
  <si>
    <r>
      <rPr>
        <sz val="11"/>
        <color rgb="FF000000"/>
        <rFont val="微软雅黑"/>
        <family val="2"/>
        <charset val="134"/>
      </rPr>
      <t xml:space="preserve">用 PCIe exerciser 模拟EP, 构造FetchAdd 包并发到RC, 地址空间为DDR空间
比较发包前后 数据内容
</t>
    </r>
    <r>
      <rPr>
        <sz val="11"/>
        <color rgb="FF000000"/>
        <rFont val="微软雅黑"/>
        <family val="2"/>
        <charset val="134"/>
      </rPr>
      <t>地址用物理地址？从何而来？</t>
    </r>
  </si>
  <si>
    <r>
      <rPr>
        <sz val="11"/>
        <color rgb="FF000000"/>
        <rFont val="微软雅黑"/>
        <family val="2"/>
        <charset val="134"/>
      </rPr>
      <t xml:space="preserve">用 PCIe exerciser 模拟EP， 构造 CAS 包并发到另外一个EP, 地址空间为后者EP的
比较发包前后 数据内容
</t>
    </r>
    <r>
      <rPr>
        <sz val="11"/>
        <color rgb="FF000000"/>
        <rFont val="微软雅黑"/>
        <family val="2"/>
        <charset val="134"/>
      </rPr>
      <t>地址用物理地址？从何而来？</t>
    </r>
  </si>
  <si>
    <r>
      <rPr>
        <sz val="11"/>
        <color rgb="FF000000"/>
        <rFont val="微软雅黑"/>
        <family val="2"/>
        <charset val="134"/>
      </rPr>
      <t xml:space="preserve">查看SltCap &amp; SltCtl：
</t>
    </r>
    <r>
      <rPr>
        <sz val="11"/>
        <color rgb="FF000000"/>
        <rFont val="微软雅黑"/>
        <family val="2"/>
        <charset val="134"/>
      </rPr>
      <t>slot所有例子的数值是成都palladium 里读到的数值，随着不同的host 和 不同的switch 版本， 需要更改如上的BDF，查看的个数和对应的数值</t>
    </r>
    <r>
      <rPr>
        <sz val="11"/>
        <color rgb="FF000000"/>
        <rFont val="微软雅黑"/>
        <family val="2"/>
        <charset val="134"/>
      </rPr>
      <t xml:space="preserve">
lspci -vvv -s 19:10.0
lspci -vvv -s 19:17.0 
预期看到：
 SltCap: AttnBtn+ PwrCtrl+ MRL+ AttnInd+ PwrInd+ HotPlug+ Surprise+
             Slot #0, PowerLimit 0.000W; Interlock+ NoCompl-
SltCtl: Enable: AttnBtn+ PwrFlt- MRL- PresDet- CmdCplt+ HPIrq+ LinkChg+
或者：
setpci -s 19:10.0 84.l   返回 0002007f
setpci -s 19:10.0 88.l   返回 000013f1
setpci -s 19:17.0 84.l   返回 0002007f
setpci -s 19:17.0 88.l   返回 000013f1
84 = 70 + 14</t>
    </r>
  </si>
  <si>
    <r>
      <rPr>
        <sz val="11"/>
        <color rgb="FF000000"/>
        <rFont val="微软雅黑"/>
        <family val="2"/>
        <charset val="134"/>
      </rPr>
      <t>AttnInd+情况下：(70+14---bit3)</t>
    </r>
    <r>
      <rPr>
        <sz val="11"/>
        <color rgb="FF000000"/>
        <rFont val="微软雅黑"/>
        <family val="2"/>
        <charset val="134"/>
      </rPr>
      <t xml:space="preserve">
setpci -s 19:10.0 88.l=00001371    能看到slot 对应的LED灯是亮的</t>
    </r>
    <r>
      <rPr>
        <sz val="11"/>
        <color rgb="FF000000"/>
        <rFont val="微软雅黑"/>
        <family val="2"/>
        <charset val="134"/>
      </rPr>
      <t xml:space="preserve">
setpci -s 19:10.0 88.l=000013b1    能看到slot 对应的LED灯是闪烁的</t>
    </r>
    <r>
      <rPr>
        <sz val="11"/>
        <color rgb="FF000000"/>
        <rFont val="微软雅黑"/>
        <family val="2"/>
        <charset val="134"/>
      </rPr>
      <t xml:space="preserve">
setpci -s 19:10.0 88.l=00001331    能看到slot 对应的LED灯还是之前状态</t>
    </r>
    <r>
      <rPr>
        <sz val="11"/>
        <color rgb="FF000000"/>
        <rFont val="微软雅黑"/>
        <family val="2"/>
        <charset val="134"/>
      </rPr>
      <t xml:space="preserve">
setpci -s 19:10.0 88.l=000013b1    能看到slot 对应的LED灯是不亮的</t>
    </r>
    <r>
      <rPr>
        <sz val="11"/>
        <color rgb="FF000000"/>
        <rFont val="微软雅黑"/>
        <family val="2"/>
        <charset val="134"/>
      </rPr>
      <t xml:space="preserve">
19.17.0  类似</t>
    </r>
    <r>
      <rPr>
        <sz val="11"/>
        <color rgb="FF000000"/>
        <rFont val="微软雅黑"/>
        <family val="2"/>
        <charset val="134"/>
      </rPr>
      <t xml:space="preserve">
测试后检查盘的在位状态是否正常</t>
    </r>
  </si>
  <si>
    <r>
      <rPr>
        <sz val="11"/>
        <color rgb="FF000000"/>
        <rFont val="微软雅黑"/>
        <family val="2"/>
        <charset val="134"/>
      </rPr>
      <t>PwrInd+情况下：(70+14---bit4)</t>
    </r>
    <r>
      <rPr>
        <sz val="11"/>
        <color rgb="FF000000"/>
        <rFont val="微软雅黑"/>
        <family val="2"/>
        <charset val="134"/>
      </rPr>
      <t xml:space="preserve">
setpci -s 19:10.0 88.l=000011f1    能看到slot 对应的LED灯是亮的</t>
    </r>
    <r>
      <rPr>
        <sz val="11"/>
        <color rgb="FF000000"/>
        <rFont val="微软雅黑"/>
        <family val="2"/>
        <charset val="134"/>
      </rPr>
      <t xml:space="preserve">
setpci -s 19:10.0 88.l=000012f1    能看到slot 对应的LED灯是闪烁的</t>
    </r>
    <r>
      <rPr>
        <sz val="11"/>
        <color rgb="FF000000"/>
        <rFont val="微软雅黑"/>
        <family val="2"/>
        <charset val="134"/>
      </rPr>
      <t xml:space="preserve">
setpci -s 19:10.0 88.l=000010f1    能看到slot 对应的LED灯还是之前状态</t>
    </r>
    <r>
      <rPr>
        <sz val="11"/>
        <color rgb="FF000000"/>
        <rFont val="微软雅黑"/>
        <family val="2"/>
        <charset val="134"/>
      </rPr>
      <t xml:space="preserve">
setpci -s 19:10.0 88.l=000013f1    能看到slot 对应的LED灯是不亮的</t>
    </r>
    <r>
      <rPr>
        <sz val="11"/>
        <color rgb="FF000000"/>
        <rFont val="微软雅黑"/>
        <family val="2"/>
        <charset val="134"/>
      </rPr>
      <t xml:space="preserve">
19.17.0 类似</t>
    </r>
    <r>
      <rPr>
        <sz val="11"/>
        <color rgb="FF000000"/>
        <rFont val="微软雅黑"/>
        <family val="2"/>
        <charset val="134"/>
      </rPr>
      <t xml:space="preserve">
测试后检查盘的在位状态是否正常</t>
    </r>
  </si>
  <si>
    <r>
      <rPr>
        <sz val="11"/>
        <color rgb="FF000000"/>
        <rFont val="微软雅黑"/>
        <family val="2"/>
        <charset val="134"/>
      </rPr>
      <t>AttnBtn+情况下：(70+14---bit0)</t>
    </r>
    <r>
      <rPr>
        <sz val="11"/>
        <color rgb="FF000000"/>
        <rFont val="微软雅黑"/>
        <family val="2"/>
        <charset val="134"/>
      </rPr>
      <t xml:space="preserve">
setpci -s 19:10.0 88.l=000013f1  使能enable</t>
    </r>
    <r>
      <rPr>
        <sz val="11"/>
        <color rgb="FF000000"/>
        <rFont val="微软雅黑"/>
        <family val="2"/>
        <charset val="134"/>
      </rPr>
      <t xml:space="preserve">
按下Attetion button</t>
    </r>
    <r>
      <rPr>
        <sz val="11"/>
        <color rgb="FF000000"/>
        <rFont val="微软雅黑"/>
        <family val="2"/>
        <charset val="134"/>
      </rPr>
      <t xml:space="preserve">
dmesg 查看log， 应该有attionbutton事件通知（细节待定）</t>
    </r>
    <r>
      <rPr>
        <sz val="11"/>
        <color rgb="FF000000"/>
        <rFont val="微软雅黑"/>
        <family val="2"/>
        <charset val="134"/>
      </rPr>
      <t xml:space="preserve">
setpci -s 19:10.0 88.l=000013f0 关闭enable</t>
    </r>
    <r>
      <rPr>
        <sz val="11"/>
        <color rgb="FF000000"/>
        <rFont val="微软雅黑"/>
        <family val="2"/>
        <charset val="134"/>
      </rPr>
      <t xml:space="preserve">
按下Attetion button</t>
    </r>
    <r>
      <rPr>
        <sz val="11"/>
        <color rgb="FF000000"/>
        <rFont val="微软雅黑"/>
        <family val="2"/>
        <charset val="134"/>
      </rPr>
      <t xml:space="preserve">
dmes 查看log， 应该没有attionbutton事件通知</t>
    </r>
    <r>
      <rPr>
        <sz val="11"/>
        <color rgb="FF000000"/>
        <rFont val="微软雅黑"/>
        <family val="2"/>
        <charset val="134"/>
      </rPr>
      <t xml:space="preserve">
palladium&amp;server40 都一样， 关闭所有enable， echo power 0&amp;1 还是能认到nvme盘。 card present 读state 判断， 但是从寄存器是0， log且能判断到， why?</t>
    </r>
    <r>
      <rPr>
        <sz val="11"/>
        <color rgb="FF000000"/>
        <rFont val="微软雅黑"/>
        <family val="2"/>
        <charset val="134"/>
      </rPr>
      <t xml:space="preserve">
setpci -s 19:10.0 8a 应该返回  0x0000 (lspci -vvv -s 19:10.0   能看到SltSta: </t>
    </r>
    <r>
      <rPr>
        <sz val="11"/>
        <color rgb="FF000000"/>
        <rFont val="微软雅黑"/>
        <family val="2"/>
        <charset val="134"/>
      </rPr>
      <t>AttnBtn+？ 还是AttnBtn-？</t>
    </r>
    <r>
      <rPr>
        <sz val="11"/>
        <color rgb="FF000000"/>
        <rFont val="微软雅黑"/>
        <family val="2"/>
        <charset val="134"/>
      </rPr>
      <t>）</t>
    </r>
    <r>
      <rPr>
        <sz val="11"/>
        <color rgb="FF000000"/>
        <rFont val="微软雅黑"/>
        <family val="2"/>
        <charset val="134"/>
      </rPr>
      <t xml:space="preserve">
测试后检查盘的在位状态是否正常</t>
    </r>
  </si>
  <si>
    <r>
      <rPr>
        <sz val="11"/>
        <color rgb="FF000000"/>
        <rFont val="微软雅黑"/>
        <family val="2"/>
        <charset val="134"/>
      </rPr>
      <t>PwrCtrl+情况下：(70+14---bit1)</t>
    </r>
    <r>
      <rPr>
        <sz val="11"/>
        <color rgb="FF000000"/>
        <rFont val="微软雅黑"/>
        <family val="2"/>
        <charset val="134"/>
      </rPr>
      <t xml:space="preserve">
case 1：</t>
    </r>
    <r>
      <rPr>
        <sz val="11"/>
        <color rgb="FF000000"/>
        <rFont val="微软雅黑"/>
        <family val="2"/>
        <charset val="134"/>
      </rPr>
      <t xml:space="preserve">
setpci -s 19:10.0 88.l=000013f3  使能enable</t>
    </r>
    <r>
      <rPr>
        <sz val="11"/>
        <color rgb="FF000000"/>
        <rFont val="微软雅黑"/>
        <family val="2"/>
        <charset val="134"/>
      </rPr>
      <t xml:space="preserve">
setpci -s 19:10.0 88.l=000017f3  PowerControllerControl set1 （bit10）</t>
    </r>
    <r>
      <rPr>
        <sz val="11"/>
        <color rgb="FF000000"/>
        <rFont val="微软雅黑"/>
        <family val="2"/>
        <charset val="134"/>
      </rPr>
      <t xml:space="preserve">
dmesg 查看log， 应该有Power Fault Detected事件通知（细节待定）</t>
    </r>
    <r>
      <rPr>
        <sz val="11"/>
        <color rgb="FF000000"/>
        <rFont val="微软雅黑"/>
        <family val="2"/>
        <charset val="134"/>
      </rPr>
      <t xml:space="preserve">
case 2：</t>
    </r>
    <r>
      <rPr>
        <sz val="11"/>
        <color rgb="FF000000"/>
        <rFont val="微软雅黑"/>
        <family val="2"/>
        <charset val="134"/>
      </rPr>
      <t xml:space="preserve">
如何让硬件触发 Power Fault ？</t>
    </r>
    <r>
      <rPr>
        <sz val="11"/>
        <color rgb="FF000000"/>
        <rFont val="微软雅黑"/>
        <family val="2"/>
        <charset val="134"/>
      </rPr>
      <t xml:space="preserve">
测试后检查盘的在位状态是否正常</t>
    </r>
  </si>
  <si>
    <r>
      <rPr>
        <sz val="11"/>
        <color rgb="FF000000"/>
        <rFont val="微软雅黑"/>
        <family val="2"/>
        <charset val="134"/>
      </rPr>
      <t>MRL+情况下：(70+14---bit2)</t>
    </r>
    <r>
      <rPr>
        <sz val="11"/>
        <color rgb="FF000000"/>
        <rFont val="微软雅黑"/>
        <family val="2"/>
        <charset val="134"/>
      </rPr>
      <t xml:space="preserve">
setpci -s 19:10.0 88.l=000013f5  使能enable</t>
    </r>
    <r>
      <rPr>
        <sz val="11"/>
        <color rgb="FF000000"/>
        <rFont val="微软雅黑"/>
        <family val="2"/>
        <charset val="134"/>
      </rPr>
      <t xml:space="preserve">
强制拔掉设备（需要能热插拔的设备！！！）</t>
    </r>
    <r>
      <rPr>
        <sz val="11"/>
        <color rgb="FF000000"/>
        <rFont val="微软雅黑"/>
        <family val="2"/>
        <charset val="134"/>
      </rPr>
      <t xml:space="preserve">
如何验证？？需要有此功能的slot？ </t>
    </r>
    <r>
      <rPr>
        <sz val="11"/>
        <color rgb="FF000000"/>
        <rFont val="微软雅黑"/>
        <family val="2"/>
        <charset val="134"/>
      </rPr>
      <t xml:space="preserve">
setpci -s 19:10.0 8a 应该返回  0x0004 </t>
    </r>
    <r>
      <rPr>
        <sz val="11"/>
        <color rgb="FF000000"/>
        <rFont val="微软雅黑"/>
        <family val="2"/>
        <charset val="134"/>
      </rPr>
      <t xml:space="preserve">
setpci -s 19:10.0 8a=0x04</t>
    </r>
    <r>
      <rPr>
        <sz val="11"/>
        <color rgb="FF000000"/>
        <rFont val="微软雅黑"/>
        <family val="2"/>
        <charset val="134"/>
      </rPr>
      <t xml:space="preserve">
setpci -s 19:10.0 8a 应该返回  0x0000  </t>
    </r>
    <r>
      <rPr>
        <sz val="11"/>
        <color rgb="FF000000"/>
        <rFont val="微软雅黑"/>
        <family val="2"/>
        <charset val="134"/>
      </rPr>
      <t xml:space="preserve">
bit5 MRL Sensor State 是什么值？ 需要环境验证</t>
    </r>
    <r>
      <rPr>
        <sz val="11"/>
        <color rgb="FF000000"/>
        <rFont val="微软雅黑"/>
        <family val="2"/>
        <charset val="134"/>
      </rPr>
      <t xml:space="preserve">
测试后检查盘的在位状态是否正常</t>
    </r>
  </si>
  <si>
    <r>
      <rPr>
        <sz val="11"/>
        <color rgb="FF000000"/>
        <rFont val="微软雅黑"/>
        <family val="2"/>
        <charset val="134"/>
      </rPr>
      <t>Capability MRL+情况下：(70+14---bit2)</t>
    </r>
    <r>
      <rPr>
        <sz val="11"/>
        <color rgb="FF000000"/>
        <rFont val="微软雅黑"/>
        <family val="2"/>
        <charset val="134"/>
      </rPr>
      <t xml:space="preserve">
setpci -s 19:10.0 88.l=000013fa  使能enable</t>
    </r>
    <r>
      <rPr>
        <sz val="11"/>
        <color rgb="FF000000"/>
        <rFont val="微软雅黑"/>
        <family val="2"/>
        <charset val="134"/>
      </rPr>
      <t xml:space="preserve">
强制拔掉设备（需要能热插拔的设备！！！）U2接口的nvme</t>
    </r>
    <r>
      <rPr>
        <sz val="11"/>
        <color rgb="FF000000"/>
        <rFont val="微软雅黑"/>
        <family val="2"/>
        <charset val="134"/>
      </rPr>
      <t xml:space="preserve">
dmesg 查看log， 应该有Presence Detect Changed 事件通知（</t>
    </r>
    <r>
      <rPr>
        <sz val="11"/>
        <color rgb="FF000000"/>
        <rFont val="微软雅黑"/>
        <family val="2"/>
        <charset val="134"/>
      </rPr>
      <t>细节待定</t>
    </r>
    <r>
      <rPr>
        <sz val="11"/>
        <color rgb="FF000000"/>
        <rFont val="微软雅黑"/>
        <family val="2"/>
        <charset val="134"/>
      </rPr>
      <t>）</t>
    </r>
    <r>
      <rPr>
        <sz val="11"/>
        <color rgb="FF000000"/>
        <rFont val="微软雅黑"/>
        <family val="2"/>
        <charset val="134"/>
      </rPr>
      <t xml:space="preserve">
再插上设备（需要能热插拔的设备！！！）</t>
    </r>
    <r>
      <rPr>
        <sz val="11"/>
        <color rgb="FF000000"/>
        <rFont val="微软雅黑"/>
        <family val="2"/>
        <charset val="134"/>
      </rPr>
      <t xml:space="preserve">
dmesg 查看log， 应该有Presence Detect Changed 事件通知（</t>
    </r>
    <r>
      <rPr>
        <sz val="11"/>
        <color rgb="FF000000"/>
        <rFont val="微软雅黑"/>
        <family val="2"/>
        <charset val="134"/>
      </rPr>
      <t>细节待定</t>
    </r>
    <r>
      <rPr>
        <sz val="11"/>
        <color rgb="FF000000"/>
        <rFont val="微软雅黑"/>
        <family val="2"/>
        <charset val="134"/>
      </rPr>
      <t>）</t>
    </r>
    <r>
      <rPr>
        <sz val="11"/>
        <color rgb="FF000000"/>
        <rFont val="微软雅黑"/>
        <family val="2"/>
        <charset val="134"/>
      </rPr>
      <t xml:space="preserve">
 关闭enable</t>
    </r>
    <r>
      <rPr>
        <sz val="11"/>
        <color rgb="FF000000"/>
        <rFont val="微软雅黑"/>
        <family val="2"/>
        <charset val="134"/>
      </rPr>
      <t xml:space="preserve">
热插拔</t>
    </r>
    <r>
      <rPr>
        <sz val="11"/>
        <color rgb="FF000000"/>
        <rFont val="微软雅黑"/>
        <family val="2"/>
        <charset val="134"/>
      </rPr>
      <t xml:space="preserve">
测试后检查盘的在位状态是否正常</t>
    </r>
  </si>
  <si>
    <r>
      <rPr>
        <sz val="11"/>
        <color rgb="FF000000"/>
        <rFont val="微软雅黑"/>
        <family val="2"/>
        <charset val="134"/>
      </rPr>
      <t xml:space="preserve">Capability  Command Completed Support情况下：(70+14---bit18 需要是0 )(NoCompl-)
控制nvme 对应DSP的slot
echo 0 &gt;/sys/bus/pci/slots/0-1(根据实际替换)/power
dmesg 不应该有 类似 “Timeout on hotplug command 0x01c0“
echo 1 &gt;/sys/bus/pci/slots/0-1/power
dmes  应该有类似 Slot(0-1): Link Up 且能认到NVME
</t>
    </r>
    <r>
      <rPr>
        <sz val="11"/>
        <color rgb="FF000000"/>
        <rFont val="微软雅黑"/>
        <family val="2"/>
        <charset val="134"/>
      </rPr>
      <t>测试后检查盘的在位状态是否正常</t>
    </r>
  </si>
  <si>
    <r>
      <rPr>
        <sz val="11"/>
        <color rgb="FF000000"/>
        <rFont val="微软雅黑"/>
        <family val="2"/>
        <charset val="134"/>
      </rPr>
      <t xml:space="preserve">Capability  Hot-Plug Capable 情况下：(70+14---bit6 需要是1) (HotPlug+)
setpci -s 19:10.0 88.l 关闭hot plug interrupt enable （HPIrq-）
1. 拔盘，dmesg 无热插拔事件
2. 插盘，dmesg 无热插拔事件
可以 通过背板的上下电来测试？
</t>
    </r>
    <r>
      <rPr>
        <sz val="11"/>
        <color rgb="FF000000"/>
        <rFont val="微软雅黑"/>
        <family val="2"/>
        <charset val="134"/>
      </rPr>
      <t>测试后检查盘的在位状态是否正常</t>
    </r>
  </si>
  <si>
    <r>
      <rPr>
        <sz val="11"/>
        <color rgb="FF000000"/>
        <rFont val="微软雅黑"/>
        <family val="2"/>
        <charset val="134"/>
      </rPr>
      <t xml:space="preserve">Capability  Hot-Plug Capable 情况下：(70+14---bit6 &amp;bit1 需要是1)(Hotpug+ &amp; PwrCtrl+)
setpci -s 19:10.0 88.l=000013ff  使能enable
setpci -s 19:10.0 88.l=000017ff  使能poweroff
5秒后
dd if=/dev/nvmexxxx of=/dev/null count=1000 bs=1024 应该失败
setpci -s 19:10.0 88.l=000013ff  使能poweron
dd if=/dev/nvmexxxx of=/dev/null count=1000 bs=1024 应该成功
</t>
    </r>
    <r>
      <rPr>
        <sz val="11"/>
        <color rgb="FF000000"/>
        <rFont val="微软雅黑"/>
        <family val="2"/>
        <charset val="134"/>
      </rPr>
      <t>测试后检查盘的在位状态是否正常</t>
    </r>
  </si>
  <si>
    <r>
      <rPr>
        <sz val="11"/>
        <color rgb="FF000000"/>
        <rFont val="微软雅黑"/>
        <family val="2"/>
        <charset val="134"/>
      </rPr>
      <t xml:space="preserve">1. USP接HOST，DSP接NVMe盘
2. 修改启动项参数，在grub配置文件中增加 pci=pcie_bus_tune_off 启动项，然后执行sudo update-grub
3. 系统下电后重新上电，待枚举完成后lspci -vvv查看链路设备MPS
4. NVMe读盘、写盘，分别测试HOST-&gt;EP、EP-&gt;HOST方向的读写，同时使用协议分析仪抓包
</t>
    </r>
    <r>
      <rPr>
        <sz val="11"/>
        <color rgb="FF000000"/>
        <rFont val="微软雅黑"/>
        <family val="2"/>
        <charset val="134"/>
      </rPr>
      <t>没有训练器情况下测试方法：</t>
    </r>
    <r>
      <rPr>
        <sz val="11"/>
        <color rgb="FF000000"/>
        <rFont val="微软雅黑"/>
        <family val="2"/>
        <charset val="134"/>
      </rPr>
      <t xml:space="preserve">
4.  dd 随机数到本地文件， dd 本地文件到 nvme， dd从nvme再读回来成另外一个文件， 比较两个文件的MD5, 如果正确， 说明没有畸形包？需要重复多种不同数据长度</t>
    </r>
  </si>
  <si>
    <r>
      <rPr>
        <u/>
        <sz val="10"/>
        <color rgb="FF267EF0"/>
        <rFont val="微软雅黑"/>
        <family val="2"/>
        <charset val="134"/>
      </rPr>
      <t>YUNDUSIL-39</t>
    </r>
  </si>
  <si>
    <r>
      <rPr>
        <sz val="11"/>
        <color rgb="FF000000"/>
        <rFont val="微软雅黑"/>
        <family val="2"/>
        <charset val="134"/>
      </rPr>
      <t xml:space="preserve">1. USP接HOST，DSP接NVMe盘
2. 修改启动项参数，在grub配置文件中增加 pci=pcie_bus_perf 启动项，然后执行sudo update-grub
3. 系统下电后重新上电，待枚举完成后lspci -vvv查看链路设备MPS
4. NVMe读盘、写盘，分别测试HOST-&gt;EP、EP-&gt;HOST方向的读写，同时使用协议分析仪抓包
</t>
    </r>
    <r>
      <rPr>
        <sz val="11"/>
        <color rgb="FF000000"/>
        <rFont val="微软雅黑"/>
        <family val="2"/>
        <charset val="134"/>
      </rPr>
      <t>没有训练器情况下测试方法：</t>
    </r>
    <r>
      <rPr>
        <sz val="11"/>
        <color rgb="FF000000"/>
        <rFont val="微软雅黑"/>
        <family val="2"/>
        <charset val="134"/>
      </rPr>
      <t xml:space="preserve">
4.  dd 随机数到本地文件， dd 本地文件到 nvme， dd从nvme再读回来成另外一个文件， 比较两个文件的MD5, 如果正确， 说明没有畸形包？需要重复多种不同数据长度</t>
    </r>
  </si>
  <si>
    <r>
      <rPr>
        <sz val="11"/>
        <color rgb="FF000000"/>
        <rFont val="微软雅黑"/>
        <family val="2"/>
        <charset val="134"/>
      </rPr>
      <t xml:space="preserve">1. USP接HOST，DSP接NVMe盘
2. 修改启动项参数，在grub配置文件中增加 pci=pcie_bus_peer2peer 启动项，然后执行sudo update-grub
3. 系统下电后重新上电，待枚举完成后lspci -vvv查看链路设备MPS
4. NVMe读盘、写盘，分别测试HOST-&gt;EP、EP-&gt;HOST方向的读写，同时使用协议分析仪抓包
</t>
    </r>
    <r>
      <rPr>
        <sz val="11"/>
        <color rgb="FF000000"/>
        <rFont val="微软雅黑"/>
        <family val="2"/>
        <charset val="134"/>
      </rPr>
      <t>没有训练器情况下测试方法：</t>
    </r>
    <r>
      <rPr>
        <sz val="11"/>
        <color rgb="FF000000"/>
        <rFont val="微软雅黑"/>
        <family val="2"/>
        <charset val="134"/>
      </rPr>
      <t xml:space="preserve">
4.  dd 随机数到本地文件， dd 本地文件到 nvme， dd从nvme再读回来成另外一个文件， 比较两个文件的MD5, 如果正确， 说明没有畸形包？需要重复多种不同数据长度</t>
    </r>
  </si>
  <si>
    <r>
      <rPr>
        <sz val="11"/>
        <color rgb="FF000000"/>
        <rFont val="微软雅黑"/>
        <family val="2"/>
        <charset val="134"/>
      </rPr>
      <t xml:space="preserve">1. USP接HOST，DSP接PCIe exerciser，USP与HOST之间接协议分析仪
2. PCIe exerciser模拟PCIe设备写HOST主存
3. setpci修改DSP Device Control中MPS，分别修改成128B/256B/512B/1024B/2048B/4096B多次实验
4. 协议分析仪抓包，查看TLP实际的data payload大小
</t>
    </r>
    <r>
      <rPr>
        <sz val="11"/>
        <color rgb="FF000000"/>
        <rFont val="微软雅黑"/>
        <family val="2"/>
        <charset val="134"/>
      </rPr>
      <t>没有训练器情况下测试方法：</t>
    </r>
    <r>
      <rPr>
        <sz val="11"/>
        <color rgb="FF000000"/>
        <rFont val="微软雅黑"/>
        <family val="2"/>
        <charset val="134"/>
      </rPr>
      <t xml:space="preserve">
2.  dd 随机数到本地文件， dd 本地文件到 nvme， dd从nvme再读回来成另外一个文件， 比较两个文件的MD5, 如果正确， 说明没有畸形包？需要重复多种不同数据长度</t>
    </r>
    <r>
      <rPr>
        <sz val="11"/>
        <color rgb="FF000000"/>
        <rFont val="微软雅黑"/>
        <family val="2"/>
        <charset val="134"/>
      </rPr>
      <t xml:space="preserve">
当mps 超过链路上最小值， 则发生crash 说明出现畸形包？</t>
    </r>
  </si>
  <si>
    <r>
      <rPr>
        <sz val="11"/>
        <color rgb="FF000000"/>
        <rFont val="微软雅黑"/>
        <family val="2"/>
        <charset val="134"/>
      </rPr>
      <t xml:space="preserve">1. USP接HOST，DSP接PCIe exerciser，USP与HOST之间接协议分析仪
2. PCIe exerciser模拟PCIe设备读HOST主存
    a. 读数据长度大于SW MRRS
    b. 读数据长度小于SW MRRS
3. 协议分析仪抓包，查看MRd TLP中Length字段大小
4. setpci修改MRRS大小，重复实验
</t>
    </r>
    <r>
      <rPr>
        <sz val="11"/>
        <color rgb="FF000000"/>
        <rFont val="微软雅黑"/>
        <family val="2"/>
        <charset val="134"/>
      </rPr>
      <t>没有训练器情况下测试方法：</t>
    </r>
    <r>
      <rPr>
        <sz val="11"/>
        <color rgb="FF000000"/>
        <rFont val="微软雅黑"/>
        <family val="2"/>
        <charset val="134"/>
      </rPr>
      <t xml:space="preserve">
2.  dd 随机数到本地文件， dd 本地文件到 nvme， dd从nvme再读回来成另外一个文件， 比较两个文件的MD5, 如果正确， 说明没有畸形包？</t>
    </r>
    <r>
      <rPr>
        <sz val="11"/>
        <color rgb="FF000000"/>
        <rFont val="微软雅黑"/>
        <family val="2"/>
        <charset val="134"/>
      </rPr>
      <t>需要重复多种不同数据长度</t>
    </r>
  </si>
  <si>
    <r>
      <rPr>
        <sz val="11"/>
        <color rgb="FF000000"/>
        <rFont val="微软雅黑"/>
        <family val="2"/>
        <charset val="134"/>
      </rPr>
      <t xml:space="preserve">1. USP接HOST，DSP接PCIe exerciser，USP与HOST之间接协议分析仪
2. PCIe exerciser模拟PCIe设备读HOST主存
    a. 读数据范围没有跨越RCB边界
    b. 读数据范围跨越RCB边界
3. 协议分析仪抓包，查看cplD TLP data payload拆分情况
</t>
    </r>
    <r>
      <rPr>
        <sz val="11"/>
        <color rgb="FF000000"/>
        <rFont val="微软雅黑"/>
        <family val="2"/>
        <charset val="134"/>
      </rPr>
      <t>没有训练器情况下测试方法：</t>
    </r>
    <r>
      <rPr>
        <sz val="11"/>
        <color rgb="FF000000"/>
        <rFont val="微软雅黑"/>
        <family val="2"/>
        <charset val="134"/>
      </rPr>
      <t xml:space="preserve">
2.  dd 随机数到本地文件， dd 本地文件到 nvme， dd从nvme再读回来成另外一个文件， 比较两个文件的MD5, 如果正确， 说明没有畸形包？</t>
    </r>
    <r>
      <rPr>
        <sz val="11"/>
        <color rgb="FF000000"/>
        <rFont val="微软雅黑"/>
        <family val="2"/>
        <charset val="134"/>
      </rPr>
      <t>需要重复多种不同数据长度</t>
    </r>
  </si>
  <si>
    <r>
      <rPr>
        <sz val="11"/>
        <color rgb="FF000000"/>
        <rFont val="Helvetica Neue"/>
      </rPr>
      <t xml:space="preserve">SWITCH  IP 不支持， 直接设置成0.
IP 不支持， 已知问题
</t>
    </r>
    <r>
      <rPr>
        <u/>
        <sz val="11"/>
        <color rgb="FF267EF0"/>
        <rFont val="Helvetica Neue"/>
      </rPr>
      <t>YUNDUSIL-244</t>
    </r>
  </si>
  <si>
    <r>
      <rPr>
        <sz val="11"/>
        <color rgb="FF000000"/>
        <rFont val="Helvetica Neue"/>
      </rPr>
      <t xml:space="preserve">SWITCH  IP 不支持， 直接设置成0.
IP 不支持， 已知问题
</t>
    </r>
    <r>
      <rPr>
        <u/>
        <sz val="11"/>
        <color rgb="FF267EF0"/>
        <rFont val="Helvetica Neue"/>
      </rPr>
      <t>YUNDUSIL-244</t>
    </r>
  </si>
  <si>
    <r>
      <rPr>
        <u/>
        <sz val="10"/>
        <color rgb="FF267EF0"/>
        <rFont val="微软雅黑"/>
        <family val="2"/>
        <charset val="134"/>
      </rPr>
      <t>YUNDUSIL-24</t>
    </r>
  </si>
  <si>
    <r>
      <rPr>
        <sz val="11"/>
        <color rgb="FF000000"/>
        <rFont val="微软雅黑"/>
        <family val="2"/>
        <charset val="134"/>
      </rPr>
      <t>1. lspci查看Device Status/Control 寄存器</t>
    </r>
    <r>
      <rPr>
        <sz val="11"/>
        <color rgb="FF000000"/>
        <rFont val="微软雅黑"/>
        <family val="2"/>
        <charset val="134"/>
      </rPr>
      <t xml:space="preserve">
2. </t>
    </r>
    <r>
      <rPr>
        <sz val="11"/>
        <color rgb="FF000000"/>
        <rFont val="微软雅黑"/>
        <family val="2"/>
        <charset val="134"/>
      </rPr>
      <t>成都palladium 三星809 nvme盘检测结果：</t>
    </r>
    <r>
      <rPr>
        <sz val="11"/>
        <color rgb="FF000000"/>
        <rFont val="微软雅黑"/>
        <family val="2"/>
        <charset val="134"/>
      </rPr>
      <t xml:space="preserve">
DevSta:	CorrErr+ NonFatalErr- FatalErr- UnsupReq+ AuxPwr- TransPend-</t>
    </r>
    <r>
      <rPr>
        <sz val="11"/>
        <color rgb="FF000000"/>
        <rFont val="微软雅黑"/>
        <family val="2"/>
        <charset val="134"/>
      </rPr>
      <t xml:space="preserve">
DevCtl:	CorrErr- NonFatalErr+ FatalErr+ UnsupReq-</t>
    </r>
  </si>
  <si>
    <r>
      <rPr>
        <sz val="11"/>
        <color rgb="FF000000"/>
        <rFont val="微软雅黑"/>
        <family val="2"/>
        <charset val="134"/>
      </rPr>
      <t>1. lspci查看Status寄存器</t>
    </r>
    <r>
      <rPr>
        <sz val="11"/>
        <color rgb="FF000000"/>
        <rFont val="微软雅黑"/>
        <family val="2"/>
        <charset val="134"/>
      </rPr>
      <t xml:space="preserve">
2. </t>
    </r>
    <r>
      <rPr>
        <sz val="11"/>
        <color rgb="FF000000"/>
        <rFont val="微软雅黑"/>
        <family val="2"/>
        <charset val="134"/>
      </rPr>
      <t>lspci -s 1a:00.0 -vvvn -xxx 查看成都palladium 三星809 nvme盘检测结果：</t>
    </r>
    <r>
      <rPr>
        <sz val="11"/>
        <color rgb="FF000000"/>
        <rFont val="微软雅黑"/>
        <family val="2"/>
        <charset val="134"/>
      </rPr>
      <t xml:space="preserve">
Status: Cap+ 66MHz- UDF- FastB2B- ParErr- DEVSEL=fast &gt;TAbort- &lt;TAbort- &lt;MAbort- &gt;SERR- &lt;PERR- INTx-</t>
    </r>
  </si>
  <si>
    <r>
      <rPr>
        <sz val="11"/>
        <color rgb="FF000000"/>
        <rFont val="微软雅黑"/>
        <family val="2"/>
        <charset val="134"/>
      </rPr>
      <t>1. lspci查看Command 寄存器</t>
    </r>
    <r>
      <rPr>
        <sz val="11"/>
        <color rgb="FF000000"/>
        <rFont val="微软雅黑"/>
        <family val="2"/>
        <charset val="134"/>
      </rPr>
      <t xml:space="preserve">
2. </t>
    </r>
    <r>
      <rPr>
        <sz val="11"/>
        <color rgb="FF000000"/>
        <rFont val="微软雅黑"/>
        <family val="2"/>
        <charset val="134"/>
      </rPr>
      <t>lspci -s 1a:00.0 -vvvn -xxx 查看成都palladium 三星809 nvme盘，检测结果：</t>
    </r>
    <r>
      <rPr>
        <sz val="11"/>
        <color rgb="FF000000"/>
        <rFont val="微软雅黑"/>
        <family val="2"/>
        <charset val="134"/>
      </rPr>
      <t xml:space="preserve">
Control: I/O- Mem+ BusMaster+ SpecCycle- MemWINV- VGASnoop- ParErr+ Stepping- SERR+ FastB2B- DisINTx+</t>
    </r>
  </si>
  <si>
    <r>
      <rPr>
        <sz val="11"/>
        <color rgb="FF000000"/>
        <rFont val="微软雅黑"/>
        <family val="2"/>
        <charset val="134"/>
      </rPr>
      <t xml:space="preserve">测试步骤：
1. lspci查看AER capability
</t>
    </r>
    <r>
      <rPr>
        <sz val="11"/>
        <color rgb="FF000000"/>
        <rFont val="微软雅黑"/>
        <family val="2"/>
        <charset val="134"/>
      </rPr>
      <t>USP 18:00.0 0604: 16c3:abcd</t>
    </r>
    <r>
      <rPr>
        <sz val="11"/>
        <color rgb="FF000000"/>
        <rFont val="微软雅黑"/>
        <family val="2"/>
        <charset val="134"/>
      </rPr>
      <t xml:space="preserve">
Capabilities: [100 v2] Advanced Error Reporting
		UESta:	DLP- SDES- TLP- FCP- CmpltTO- CmpltAbrt- UnxCmplt- RxOF- MalfTLP- ECRC- UnsupReq+ ACSViol-
		UEMsk:	DLP+ SDES- TLP+ FCP+ CmpltTO+ CmpltAbrt+ UnxCmplt+ RxOF+ MalfTLP+ ECRC+ UnsupReq+ ACSViol+
		UESvrt:	DLP- SDES+ TLP- FCP- CmpltTO- CmpltAbrt- UnxCmplt- RxOF- MalfTLP- ECRC- UnsupReq- ACSViol-
		CESta:	RxErr- BadTLP- BadDLLP- Rollover- Timeout- AdvNonFatalErr+
		CEMsk:	RxErr+ BadTLP+ BadDLLP+ Rollover+ Timeout+ AdvNonFatalErr+
		AERCap:	First Error Pointer: 00, ECRCGenCap+ ECRCGenEn- ECRCChkCap+ ECRCChkEn-
			MultHdrRecCap- MultHdrRecEn- TLPPfxPres- HdrLogCap-
		HeaderLog: 00000000 00000000 00000000 00000000
</t>
    </r>
    <r>
      <rPr>
        <sz val="11"/>
        <color rgb="FF000000"/>
        <rFont val="微软雅黑"/>
        <family val="2"/>
        <charset val="134"/>
      </rPr>
      <t>DSP 19:08.0 0604: 16c3:abcd</t>
    </r>
    <r>
      <rPr>
        <sz val="11"/>
        <color rgb="FF000000"/>
        <rFont val="微软雅黑"/>
        <family val="2"/>
        <charset val="134"/>
      </rPr>
      <t xml:space="preserve">
Capabilities: [100 v2] Advanced Error Reporting
		UESta:	DLP- SDES- TLP- FCP- CmpltTO- CmpltAbrt- UnxCmplt- RxOF- MalfTLP- ECRC- UnsupReq- ACSViol-
		UEMsk:	DLP+ SDES+ TLP+ FCP+ CmpltTO+ CmpltAbrt+ UnxCmplt+ RxOF+ MalfTLP+ ECRC+ UnsupReq+ ACSViol+
		UESvrt:	DLP- SDES- TLP- FCP- CmpltTO- CmpltAbrt- UnxCmplt- RxOF- MalfTLP- ECRC- UnsupReq- ACSViol-
		CESta:	RxErr- BadTLP- BadDLLP- Rollover- Timeout- AdvNonFatalErr-
		CEMsk:	RxErr+ BadTLP+ BadDLLP+ Rollover+ Timeout+ AdvNonFatalErr+
		AERCap:	First Error Pointer: 00, ECRCGenCap+ ECRCGenEn- ECRCChkCap+ ECRCChkEn-
			MultHdrRecCap- MultHdrRecEn- TLPPfxPres- HdrLogCap-
		HeaderLog: 00000000 00000000 00000000 00000000
</t>
    </r>
    <r>
      <rPr>
        <sz val="11"/>
        <color rgb="FF000000"/>
        <rFont val="微软雅黑"/>
        <family val="2"/>
        <charset val="134"/>
      </rPr>
      <t>19:09.0 0604: 16c3:abcd</t>
    </r>
    <r>
      <rPr>
        <sz val="11"/>
        <color rgb="FF000000"/>
        <rFont val="微软雅黑"/>
        <family val="2"/>
        <charset val="134"/>
      </rPr>
      <t xml:space="preserve">
Capabilities: [100 v2] Advanced Error Reporting
		UESta:	DLP- SDES- TLP- FCP- CmpltTO- CmpltAbrt- UnxCmplt- RxOF- MalfTLP- ECRC- UnsupReq- ACSViol-
		UEMsk:	DLP+ SDES+ TLP+ FCP+ CmpltTO+ CmpltAbrt+ UnxCmplt+ RxOF+ MalfTLP+ ECRC+ UnsupReq+ ACSViol+
		UESvrt:	DLP- SDES- TLP- FCP- CmpltTO- CmpltAbrt- UnxCmplt- RxOF- MalfTLP- ECRC- UnsupReq- ACSViol-
		CESta:	RxErr- BadTLP- BadDLLP- Rollover- Timeout- AdvNonFatalErr-
		CEMsk:	RxErr+ BadTLP+ BadDLLP+ Rollover+ Timeout+ AdvNonFatalErr+
		AERCap:	First Error Pointer: 00, ECRCGenCap+ ECRCGenEn- ECRCChkCap+ ECRCChkEn-
			MultHdrRecCap- MultHdrRecEn- TLPPfxPres- HdrLogCap-
		HeaderLog: 00000000 00000000 00000000 00000000
</t>
    </r>
    <r>
      <rPr>
        <sz val="11"/>
        <color rgb="FF000000"/>
        <rFont val="微软雅黑"/>
        <family val="2"/>
        <charset val="134"/>
      </rPr>
      <t>成都palladium 三星809 nvme盘 1a:00.0 0108: 144d:a809</t>
    </r>
    <r>
      <rPr>
        <sz val="11"/>
        <color rgb="FF000000"/>
        <rFont val="微软雅黑"/>
        <family val="2"/>
        <charset val="134"/>
      </rPr>
      <t xml:space="preserve">
Capabilities: [100 v2] Advanced Error Reporting
		UESta:	DLP- SDES- TLP- FCP- CmpltTO- CmpltAbrt- UnxCmplt- RxOF- MalfTLP- ECRC- UnsupReq- ACSViol-
		UEMsk:	DLP+ SDES- TLP+ FCP+ CmpltTO+ CmpltAbrt+ UnxCmplt+ RxOF+ MalfTLP+ ECRC+ UnsupReq+ ACSViol-
		UESvrt:	DLP- SDES+ TLP- FCP- CmpltTO- CmpltAbrt- UnxCmplt- RxOF- MalfTLP- ECRC- UnsupReq- ACSViol-
		CESta:	RxErr- BadTLP- BadDLLP- Rollover- Timeout- AdvNonFatalErr+
		CEMsk:	RxErr+ BadTLP+ BadDLLP+ Rollover+ Timeout+ AdvNonFatalErr+
		AERCap:	First Error Pointer: 00, ECRCGenCap+ ECRCGenEn- ECRCChkCap+ ECRCChkEn-
			MultHdrRecCap+ MultHdrRecEn- TLPPfxPres- HdrLogCap-
		HeaderLog: 00000000 00000000 00000000 00000000
</t>
    </r>
    <r>
      <rPr>
        <sz val="11"/>
        <color rgb="FF000000"/>
        <rFont val="微软雅黑"/>
        <family val="2"/>
        <charset val="134"/>
      </rPr>
      <t>成都palladium MEMBLAZE nvme盘 1b:00.0 0108: 1c5f:003f</t>
    </r>
    <r>
      <rPr>
        <sz val="11"/>
        <color rgb="FF000000"/>
        <rFont val="微软雅黑"/>
        <family val="2"/>
        <charset val="134"/>
      </rPr>
      <t xml:space="preserve">
Capabilities: [100 v2] Advanced Error Reporting
                UESta:  DLP- SDES- TLP- FCP- CmpltTO- CmpltAbrt- UnxCmplt- RxOF- MalfTLP- ECRC- UnsupReq- ACSViol-
                UEMsk:  DLP+ SDES- TLP+ FCP+ CmpltTO+ CmpltAbrt+ UnxCmplt+ RxOF+ MalfTLP+ ECRC+ UnsupReq+ ACSViol-
                UESvrt: DLP- SDES+ TLP- FCP- CmpltTO- CmpltAbrt- UnxCmplt- RxOF- MalfTLP- ECRC- UnsupReq- ACSViol-
                CESta:  RxErr- BadTLP- BadDLLP- Rollover- Timeout- AdvNonFatalErr+
                CEMsk:  RxErr+ BadTLP+ BadDLLP+ Rollover+ Timeout+ AdvNonFatalErr+
                AERCap: First Error Pointer: 00, ECRCGenCap+ ECRCGenEn- ECRCChkCap+ ECRCChkEn-
                        MultHdrRecCap+ MultHdrRecEn- TLPPfxPres- HdrLogCap-
                HeaderLog: 00000000 00000000 00000000 00000000</t>
    </r>
  </si>
  <si>
    <r>
      <rPr>
        <strike/>
        <sz val="11"/>
        <color rgb="FF000000"/>
        <rFont val="微软雅黑"/>
        <family val="2"/>
        <charset val="134"/>
      </rPr>
      <t>Uncorrectable Error logging验证 ：</t>
    </r>
    <r>
      <rPr>
        <strike/>
        <sz val="11"/>
        <color rgb="FF000000"/>
        <rFont val="微软雅黑"/>
        <family val="2"/>
        <charset val="134"/>
      </rPr>
      <t xml:space="preserve">
Data Link Protocol Error Status</t>
    </r>
    <r>
      <rPr>
        <strike/>
        <sz val="11"/>
        <color rgb="FF000000"/>
        <rFont val="微软雅黑"/>
        <family val="2"/>
        <charset val="134"/>
      </rPr>
      <t xml:space="preserve">
Surprise Down Error Status</t>
    </r>
    <r>
      <rPr>
        <strike/>
        <sz val="11"/>
        <color rgb="FF000000"/>
        <rFont val="微软雅黑"/>
        <family val="2"/>
        <charset val="134"/>
      </rPr>
      <t xml:space="preserve">
Poisoned TLP Received Status</t>
    </r>
    <r>
      <rPr>
        <strike/>
        <sz val="11"/>
        <color rgb="FF000000"/>
        <rFont val="微软雅黑"/>
        <family val="2"/>
        <charset val="134"/>
      </rPr>
      <t xml:space="preserve">
Flow Control Protocol Error Status</t>
    </r>
    <r>
      <rPr>
        <strike/>
        <sz val="11"/>
        <color rgb="FF000000"/>
        <rFont val="微软雅黑"/>
        <family val="2"/>
        <charset val="134"/>
      </rPr>
      <t xml:space="preserve">
Completion Timeout Error Status</t>
    </r>
    <r>
      <rPr>
        <strike/>
        <sz val="11"/>
        <color rgb="FF000000"/>
        <rFont val="微软雅黑"/>
        <family val="2"/>
        <charset val="134"/>
      </rPr>
      <t xml:space="preserve">
Completer Abort Error Status</t>
    </r>
    <r>
      <rPr>
        <strike/>
        <sz val="11"/>
        <color rgb="FF000000"/>
        <rFont val="微软雅黑"/>
        <family val="2"/>
        <charset val="134"/>
      </rPr>
      <t xml:space="preserve">
Unexpected Completion Error Status</t>
    </r>
    <r>
      <rPr>
        <strike/>
        <sz val="11"/>
        <color rgb="FF000000"/>
        <rFont val="微软雅黑"/>
        <family val="2"/>
        <charset val="134"/>
      </rPr>
      <t xml:space="preserve">
Receiver Overflow Status</t>
    </r>
    <r>
      <rPr>
        <strike/>
        <sz val="11"/>
        <color rgb="FF000000"/>
        <rFont val="微软雅黑"/>
        <family val="2"/>
        <charset val="134"/>
      </rPr>
      <t xml:space="preserve">
Malformed TLP Status</t>
    </r>
    <r>
      <rPr>
        <strike/>
        <sz val="11"/>
        <color rgb="FF000000"/>
        <rFont val="微软雅黑"/>
        <family val="2"/>
        <charset val="134"/>
      </rPr>
      <t xml:space="preserve">
ECRC Error Status</t>
    </r>
    <r>
      <rPr>
        <strike/>
        <sz val="11"/>
        <color rgb="FF000000"/>
        <rFont val="微软雅黑"/>
        <family val="2"/>
        <charset val="134"/>
      </rPr>
      <t xml:space="preserve">
Unsupported Request Error Status</t>
    </r>
    <r>
      <rPr>
        <strike/>
        <sz val="11"/>
        <color rgb="FF000000"/>
        <rFont val="微软雅黑"/>
        <family val="2"/>
        <charset val="134"/>
      </rPr>
      <t xml:space="preserve">
ACS Violation Status</t>
    </r>
    <r>
      <rPr>
        <strike/>
        <sz val="11"/>
        <color rgb="FF000000"/>
        <rFont val="微软雅黑"/>
        <family val="2"/>
        <charset val="134"/>
      </rPr>
      <t xml:space="preserve">
Uncorrectable Internal Error Status</t>
    </r>
    <r>
      <rPr>
        <strike/>
        <sz val="11"/>
        <color rgb="FF000000"/>
        <rFont val="微软雅黑"/>
        <family val="2"/>
        <charset val="134"/>
      </rPr>
      <t xml:space="preserve">
MC Blocked TLP Status</t>
    </r>
    <r>
      <rPr>
        <strike/>
        <sz val="11"/>
        <color rgb="FF000000"/>
        <rFont val="微软雅黑"/>
        <family val="2"/>
        <charset val="134"/>
      </rPr>
      <t xml:space="preserve">
AtomicOp Egress Blocked Status</t>
    </r>
    <r>
      <rPr>
        <strike/>
        <sz val="11"/>
        <color rgb="FF000000"/>
        <rFont val="微软雅黑"/>
        <family val="2"/>
        <charset val="134"/>
      </rPr>
      <t xml:space="preserve">
T</t>
    </r>
    <r>
      <rPr>
        <strike/>
        <sz val="11"/>
        <color rgb="FF000000"/>
        <rFont val="微软雅黑"/>
        <family val="2"/>
        <charset val="134"/>
      </rPr>
      <t>LP Prefix Blocked Error Status</t>
    </r>
    <r>
      <rPr>
        <strike/>
        <sz val="11"/>
        <color rgb="FF000000"/>
        <rFont val="微软雅黑"/>
        <family val="2"/>
        <charset val="134"/>
      </rPr>
      <t xml:space="preserve">
Poisoned TLP Egress Blocked Status</t>
    </r>
  </si>
  <si>
    <r>
      <rPr>
        <sz val="11"/>
        <color rgb="FF000000"/>
        <rFont val="微软雅黑"/>
        <family val="2"/>
        <charset val="134"/>
      </rPr>
      <t>训练器</t>
    </r>
  </si>
  <si>
    <r>
      <rPr>
        <strike/>
        <sz val="11"/>
        <color rgb="FF000000"/>
        <rFont val="微软雅黑"/>
        <family val="2"/>
        <charset val="134"/>
      </rPr>
      <t>训练器</t>
    </r>
  </si>
  <si>
    <r>
      <rPr>
        <sz val="11"/>
        <color rgb="FF000000"/>
        <rFont val="微软雅黑"/>
        <family val="2"/>
        <charset val="134"/>
      </rPr>
      <t xml:space="preserve">测试步骤：
1. switch USP连接host，DSP连接训练器
2. Uncorrectable Error Mask Register全置位0
3. 使能SW的AtomicOp Egress Blocking功能
3. 使用训练器构造并发出一笔AtomicOp Request，sw AER会log atomicop egress blocked
4. lspci查看AER寄存器对应状态bit是否置位
5.  lspci 查看 云渡Switch连接RP 的 ErrorSrc
</t>
    </r>
    <r>
      <rPr>
        <sz val="11"/>
        <color rgb="FF000000"/>
        <rFont val="微软雅黑"/>
        <family val="2"/>
        <charset val="134"/>
      </rPr>
      <t>6. 确认TLP monitor 没有发出atomic ops的包</t>
    </r>
    <r>
      <rPr>
        <sz val="11"/>
        <color rgb="FF000000"/>
        <rFont val="微软雅黑"/>
        <family val="2"/>
        <charset val="134"/>
      </rPr>
      <t xml:space="preserve">
ErrorSrc: ERR_COR: 0000 ERR_FATAL/NONFATAL: 0000</t>
    </r>
  </si>
  <si>
    <r>
      <rPr>
        <sz val="11"/>
        <color rgb="FF000000"/>
        <rFont val="微软雅黑"/>
        <family val="2"/>
        <charset val="134"/>
      </rPr>
      <t>测试步骤：
1.  switch USP连接host，DSP连接nvme盘
2.修改nvme盘mem-，触发dd读盘操作
3.查看dmesg打印信息，是否有“[Hardware Error]: Hardware error from APEI Generic Hardware Error Source: 1”等打印</t>
    </r>
  </si>
  <si>
    <r>
      <rPr>
        <u/>
        <sz val="10"/>
        <color rgb="FF267EF0"/>
        <rFont val="微软雅黑"/>
        <family val="2"/>
        <charset val="134"/>
      </rPr>
      <t>YUNDUSIL-45</t>
    </r>
  </si>
  <si>
    <r>
      <rPr>
        <u/>
        <sz val="10"/>
        <color rgb="FF267EF0"/>
        <rFont val="微软雅黑"/>
        <family val="2"/>
        <charset val="134"/>
      </rPr>
      <t>YUNDUSIL-47</t>
    </r>
  </si>
  <si>
    <r>
      <rPr>
        <sz val="11"/>
        <color rgb="FF000000"/>
        <rFont val="微软雅黑"/>
        <family val="2"/>
        <charset val="134"/>
      </rPr>
      <t>1. 设置EP的PMCSR寄存器，切换PowerState到D3Hot状态
2. devmem发起Mem访问，返回FFFFFFFF，查询错误状态，出现UR错误
3.</t>
    </r>
    <r>
      <rPr>
        <sz val="11"/>
        <color rgb="FF000000"/>
        <rFont val="微软雅黑"/>
        <family val="2"/>
        <charset val="134"/>
      </rPr>
      <t xml:space="preserve"> Exerciser构造completion包，返回unsupported completion  -- optional</t>
    </r>
  </si>
  <si>
    <r>
      <rPr>
        <u/>
        <sz val="10"/>
        <color rgb="FF267EF0"/>
        <rFont val="微软雅黑"/>
        <family val="2"/>
        <charset val="134"/>
      </rPr>
      <t>YUNDUSIL-47</t>
    </r>
  </si>
  <si>
    <r>
      <rPr>
        <u/>
        <sz val="10"/>
        <color rgb="FF267EF0"/>
        <rFont val="微软雅黑"/>
        <family val="2"/>
        <charset val="134"/>
      </rPr>
      <t>YUNDUSIL-47</t>
    </r>
  </si>
  <si>
    <r>
      <rPr>
        <u/>
        <sz val="10"/>
        <color rgb="FF267EF0"/>
        <rFont val="微软雅黑"/>
        <family val="2"/>
        <charset val="134"/>
      </rPr>
      <t>YUNDUSIL-75</t>
    </r>
  </si>
  <si>
    <r>
      <rPr>
        <u/>
        <sz val="10"/>
        <color rgb="FF267EF0"/>
        <rFont val="微软雅黑"/>
        <family val="2"/>
        <charset val="134"/>
      </rPr>
      <t>YUNDUSIL-75</t>
    </r>
  </si>
  <si>
    <r>
      <rPr>
        <sz val="10"/>
        <color rgb="FF267EF0"/>
        <rFont val="Helvetica Neue"/>
      </rPr>
      <t>k259_lane_revert_0_7_x16_t4.lspci</t>
    </r>
    <r>
      <rPr>
        <u/>
        <sz val="11"/>
        <color rgb="FF267EF0"/>
        <rFont val="Helvetica Neue"/>
      </rPr>
      <t>k260_lane_revert_0_3_revert_4_7_x4_t4.lspci</t>
    </r>
  </si>
  <si>
    <r>
      <rPr>
        <sz val="10"/>
        <color rgb="FF267EF0"/>
        <rFont val="等线"/>
        <family val="3"/>
        <charset val="134"/>
      </rPr>
      <t>k261_revert_p_n_x16_t4.lspci</t>
    </r>
  </si>
  <si>
    <r>
      <rPr>
        <sz val="11"/>
        <color rgb="FF000000"/>
        <rFont val="微软雅黑"/>
        <family val="2"/>
        <charset val="134"/>
      </rPr>
      <t>1. 测试验证系统上电后，lspci查看Lane Error Status (LES) 寄存器检测是否发生过 Lane-based error。</t>
    </r>
    <r>
      <rPr>
        <sz val="11"/>
        <color rgb="FF000000"/>
        <rFont val="微软雅黑"/>
        <family val="2"/>
        <charset val="134"/>
      </rPr>
      <t xml:space="preserve">
2. </t>
    </r>
    <r>
      <rPr>
        <sz val="11"/>
        <color rgb="FF000000"/>
        <rFont val="微软雅黑"/>
        <family val="2"/>
        <charset val="134"/>
      </rPr>
      <t>lspci -s 18:00.0 -vvvn -xxx USP，检测结果：</t>
    </r>
    <r>
      <rPr>
        <sz val="11"/>
        <color rgb="FF000000"/>
        <rFont val="微软雅黑"/>
        <family val="2"/>
        <charset val="134"/>
      </rPr>
      <t xml:space="preserve">
Capabilities: [218 v1] Secondary PCI Express</t>
    </r>
    <r>
      <rPr>
        <sz val="11"/>
        <color rgb="FF000000"/>
        <rFont val="微软雅黑"/>
        <family val="2"/>
        <charset val="134"/>
      </rPr>
      <t xml:space="preserve">
		LnkCtl3: LnkEquIntrruptEn-, PerformEqu-
		LaneErrStat: LaneErr at lane: 0 1 2 3 4 5 6 7 8 9 10 11 12 13 14 15
3.</t>
    </r>
    <r>
      <rPr>
        <sz val="11"/>
        <color rgb="FF000000"/>
        <rFont val="微软雅黑"/>
        <family val="2"/>
        <charset val="134"/>
      </rPr>
      <t xml:space="preserve"> lspci -s 19:08.0 -vvvn -xxx DSP，检测结果：</t>
    </r>
    <r>
      <rPr>
        <sz val="11"/>
        <color rgb="FF000000"/>
        <rFont val="微软雅黑"/>
        <family val="2"/>
        <charset val="134"/>
      </rPr>
      <t xml:space="preserve">
Capabilities: [218 v1] Secondary PCI Express
		LnkCtl3: LnkEquIntrruptEn-, PerformEqu-
		LaneErrStat: LaneErr at lane: 0 1 2 3
4.</t>
    </r>
    <r>
      <rPr>
        <sz val="11"/>
        <color rgb="FF000000"/>
        <rFont val="微软雅黑"/>
        <family val="2"/>
        <charset val="134"/>
      </rPr>
      <t xml:space="preserve"> lspci -s 19:09.0 -vvvn -xxx DSP，检测结果</t>
    </r>
    <r>
      <rPr>
        <sz val="11"/>
        <color rgb="FF000000"/>
        <rFont val="微软雅黑"/>
        <family val="2"/>
        <charset val="134"/>
      </rPr>
      <t>：
Capabilities: [218 v1] Secondary PCI Express
		LnkCtl3: LnkEquIntrruptEn-, PerformEqu-
		LaneErrStat: LaneErr at lane: 0 1 2 3</t>
    </r>
  </si>
  <si>
    <r>
      <rPr>
        <sz val="11"/>
        <color rgb="FF000000"/>
        <rFont val="Helvetica Neue"/>
      </rPr>
      <t xml:space="preserve">同 PCIe_SYS_ATTR_004
</t>
    </r>
    <r>
      <rPr>
        <u/>
        <sz val="11"/>
        <color rgb="FF267EF0"/>
        <rFont val="Helvetica Neue"/>
      </rPr>
      <t>YUNDUSIL-243</t>
    </r>
    <r>
      <rPr>
        <u/>
        <sz val="11"/>
        <color rgb="FF267EF0"/>
        <rFont val="Helvetica Neue"/>
      </rPr>
      <t xml:space="preserve">
tph_prefix_fw.log</t>
    </r>
  </si>
  <si>
    <r>
      <rPr>
        <sz val="10"/>
        <color rgb="FF000000"/>
        <rFont val="Helvetica Neue"/>
      </rPr>
      <t>IP 不支持， 已知问题</t>
    </r>
    <r>
      <rPr>
        <u/>
        <sz val="11"/>
        <color rgb="FF267EF0"/>
        <rFont val="Helvetica Neue"/>
      </rPr>
      <t xml:space="preserve">
 YUNDUSIL-243</t>
    </r>
    <r>
      <rPr>
        <sz val="10"/>
        <color rgb="FF267EF0"/>
        <rFont val="Helvetica Neue"/>
      </rPr>
      <t xml:space="preserve">
pasid_prefix_fw.log</t>
    </r>
  </si>
  <si>
    <r>
      <rPr>
        <sz val="11"/>
        <color rgb="FF000000"/>
        <rFont val="微软雅黑"/>
        <family val="2"/>
        <charset val="134"/>
      </rPr>
      <t>测试步骤：</t>
    </r>
    <r>
      <rPr>
        <sz val="11"/>
        <color rgb="FF000000"/>
        <rFont val="微软雅黑"/>
        <family val="2"/>
        <charset val="134"/>
      </rPr>
      <t xml:space="preserve">
1. 将DPC Software Triggering Supported bit=1，DPC Software Trigger=1，此时会trigger DPC</t>
    </r>
    <r>
      <rPr>
        <sz val="11"/>
        <color rgb="FF000000"/>
        <rFont val="微软雅黑"/>
        <family val="2"/>
        <charset val="134"/>
      </rPr>
      <t xml:space="preserve">
2. 此时DPC Trigger Status=1，DPC Trigger Reason=11b，DPC Trigger Reason Extension=01b</t>
    </r>
  </si>
  <si>
    <r>
      <rPr>
        <sz val="11"/>
        <color rgb="FF000000"/>
        <rFont val="微软雅黑"/>
        <family val="2"/>
        <charset val="134"/>
      </rPr>
      <t>测试步骤：</t>
    </r>
    <r>
      <rPr>
        <sz val="11"/>
        <color rgb="FF000000"/>
        <rFont val="微软雅黑"/>
        <family val="2"/>
        <charset val="134"/>
      </rPr>
      <t xml:space="preserve">
1. 将DL_Active ERR_COR Signaling Supported bit=1，DL_ACTIVE ERR_COR Enable bit=1， Device Control register的Correctable Error Reporting Enable bit=1</t>
    </r>
    <r>
      <rPr>
        <sz val="11"/>
        <color rgb="FF000000"/>
        <rFont val="微软雅黑"/>
        <family val="2"/>
        <charset val="134"/>
      </rPr>
      <t xml:space="preserve">
2. 当Link Status register的Data Link Layer Link Active bit变化时（setpci修改Link Control Register 的Link Disable或者复位下游设备），分析仪收到sw port发出的ERR_COR Message </t>
    </r>
    <r>
      <rPr>
        <sz val="11"/>
        <color rgb="FF000000"/>
        <rFont val="微软雅黑"/>
        <family val="2"/>
        <charset val="134"/>
      </rPr>
      <t xml:space="preserve">
3. 且此时Device Status register中的Correctable Error Detected bit 不会置位</t>
    </r>
  </si>
  <si>
    <r>
      <rPr>
        <b/>
        <sz val="11"/>
        <rFont val="等线"/>
        <family val="3"/>
        <charset val="134"/>
      </rPr>
      <t>yundu_asic_base_20241106</t>
    </r>
    <r>
      <rPr>
        <b/>
        <sz val="11"/>
        <color rgb="FF000000"/>
        <rFont val="微软雅黑"/>
        <family val="2"/>
        <charset val="134"/>
      </rPr>
      <t xml:space="preserve">
yundu_asic_base_20241106</t>
    </r>
  </si>
  <si>
    <r>
      <rPr>
        <sz val="11"/>
        <color rgb="FF000000"/>
        <rFont val="微软雅黑"/>
        <family val="2"/>
        <charset val="134"/>
      </rPr>
      <t>1、 运行对应c</t>
    </r>
    <r>
      <rPr>
        <sz val="11"/>
        <color rgb="FF000000"/>
        <rFont val="微软雅黑"/>
        <family val="2"/>
        <charset val="134"/>
      </rPr>
      <t>ase</t>
    </r>
    <r>
      <rPr>
        <sz val="11"/>
        <color rgb="FF000000"/>
        <rFont val="微软雅黑"/>
        <family val="2"/>
        <charset val="134"/>
      </rPr>
      <t>的应用程序，例如：cuda sample、Gpuburn等应用程序</t>
    </r>
  </si>
  <si>
    <r>
      <rPr>
        <u/>
        <sz val="11"/>
        <color rgb="FF267EF0"/>
        <rFont val="微软雅黑"/>
        <family val="2"/>
        <charset val="134"/>
      </rPr>
      <t>YUNDUSIL-302</t>
    </r>
  </si>
  <si>
    <r>
      <rPr>
        <b/>
        <sz val="11"/>
        <color rgb="FF000000"/>
        <rFont val="Helvetica Neue"/>
      </rPr>
      <t>明文验签</t>
    </r>
    <r>
      <rPr>
        <b/>
        <sz val="11"/>
        <color rgb="FF000000"/>
        <rFont val="Helvetica Neue"/>
      </rPr>
      <t xml:space="preserve">
SPI0 Status</t>
    </r>
  </si>
  <si>
    <r>
      <rPr>
        <b/>
        <sz val="11"/>
        <color rgb="FF000000"/>
        <rFont val="Helvetica Neue"/>
      </rPr>
      <t>明文验签</t>
    </r>
    <r>
      <rPr>
        <b/>
        <sz val="11"/>
        <color rgb="FF000000"/>
        <rFont val="Helvetica Neue"/>
      </rPr>
      <t xml:space="preserve">
SPI1 Status</t>
    </r>
  </si>
  <si>
    <r>
      <rPr>
        <b/>
        <sz val="11"/>
        <color rgb="FF000000"/>
        <rFont val="Helvetica Neue"/>
      </rPr>
      <t>customer</t>
    </r>
    <r>
      <rPr>
        <b/>
        <sz val="11"/>
        <color rgb="FF000000"/>
        <rFont val="Helvetica Neue"/>
      </rPr>
      <t xml:space="preserve">
SPI0 Status</t>
    </r>
  </si>
  <si>
    <r>
      <rPr>
        <sz val="11"/>
        <color rgb="FF267EF0"/>
        <rFont val="微软雅黑"/>
        <family val="2"/>
        <charset val="134"/>
      </rPr>
      <t>SD85104芯片兼容性汇总</t>
    </r>
  </si>
  <si>
    <r>
      <rPr>
        <u/>
        <sz val="10"/>
        <color rgb="FF267EF0"/>
        <rFont val="微软雅黑"/>
        <family val="2"/>
        <charset val="134"/>
      </rPr>
      <t>YUNDUSIL-7</t>
    </r>
  </si>
  <si>
    <r>
      <rPr>
        <u/>
        <sz val="10"/>
        <color rgb="FF267EF0"/>
        <rFont val="微软雅黑"/>
        <family val="2"/>
        <charset val="134"/>
      </rPr>
      <t>YUNDUSIL-9</t>
    </r>
  </si>
  <si>
    <r>
      <rPr>
        <u/>
        <sz val="10"/>
        <color rgb="FF267EF0"/>
        <rFont val="微软雅黑"/>
        <family val="2"/>
        <charset val="134"/>
      </rPr>
      <t>YUNDUSIL-10</t>
    </r>
  </si>
  <si>
    <r>
      <rPr>
        <u/>
        <sz val="10"/>
        <color rgb="FF267EF0"/>
        <rFont val="微软雅黑"/>
        <family val="2"/>
        <charset val="134"/>
      </rPr>
      <t>YUNDUSIL-11</t>
    </r>
  </si>
  <si>
    <r>
      <rPr>
        <u/>
        <sz val="10"/>
        <color rgb="FF267EF0"/>
        <rFont val="微软雅黑"/>
        <family val="2"/>
        <charset val="134"/>
      </rPr>
      <t>YUNDUSIL-12</t>
    </r>
  </si>
  <si>
    <r>
      <rPr>
        <u/>
        <sz val="10"/>
        <color rgb="FF267EF0"/>
        <rFont val="微软雅黑"/>
        <family val="2"/>
        <charset val="134"/>
      </rPr>
      <t>YUNDUSIL-14</t>
    </r>
  </si>
  <si>
    <r>
      <rPr>
        <u/>
        <sz val="10"/>
        <color rgb="FF267EF0"/>
        <rFont val="微软雅黑"/>
        <family val="2"/>
        <charset val="134"/>
      </rPr>
      <t>YUNDUSIL-16</t>
    </r>
  </si>
  <si>
    <r>
      <rPr>
        <u/>
        <sz val="10"/>
        <color rgb="FF267EF0"/>
        <rFont val="微软雅黑"/>
        <family val="2"/>
        <charset val="134"/>
      </rPr>
      <t>YUNDUSIL-17</t>
    </r>
  </si>
  <si>
    <r>
      <rPr>
        <u/>
        <sz val="10"/>
        <color rgb="FF267EF0"/>
        <rFont val="微软雅黑"/>
        <family val="2"/>
        <charset val="134"/>
      </rPr>
      <t>YUNDUSIL-21</t>
    </r>
  </si>
  <si>
    <r>
      <rPr>
        <u/>
        <sz val="10"/>
        <color rgb="FF267EF0"/>
        <rFont val="微软雅黑"/>
        <family val="2"/>
        <charset val="134"/>
      </rPr>
      <t>YUNDUSIL-20</t>
    </r>
  </si>
  <si>
    <r>
      <rPr>
        <u/>
        <sz val="10"/>
        <color rgb="FF267EF0"/>
        <rFont val="微软雅黑"/>
        <family val="2"/>
        <charset val="134"/>
      </rPr>
      <t>YUNDUSIL-19</t>
    </r>
  </si>
  <si>
    <r>
      <rPr>
        <strike/>
        <sz val="11"/>
        <color rgb="FF000000"/>
        <rFont val="微软雅黑"/>
        <family val="2"/>
        <charset val="134"/>
      </rPr>
      <t>cli升级太慢，现在用sudolink或者nvme命令进行升级，但要确保cli命令可用</t>
    </r>
    <r>
      <rPr>
        <strike/>
        <sz val="11"/>
        <color rgb="FF000000"/>
        <rFont val="微软雅黑"/>
        <family val="2"/>
        <charset val="134"/>
      </rPr>
      <t xml:space="preserve">
升级不用这个，屏蔽掉</t>
    </r>
  </si>
  <si>
    <r>
      <rPr>
        <u/>
        <sz val="10"/>
        <color rgb="FF267EF0"/>
        <rFont val="Helvetica Neue"/>
      </rPr>
      <t>YUNDUSIL-66</t>
    </r>
  </si>
  <si>
    <r>
      <rPr>
        <u/>
        <sz val="10"/>
        <color rgb="FF267EF0"/>
        <rFont val="Helvetica Neue"/>
      </rPr>
      <t>YUNDUSIL-68</t>
    </r>
  </si>
  <si>
    <r>
      <rPr>
        <sz val="11"/>
        <color rgb="FF000000"/>
        <rFont val="微软雅黑"/>
        <family val="2"/>
        <charset val="134"/>
      </rPr>
      <t>nvme</t>
    </r>
    <r>
      <rPr>
        <sz val="11"/>
        <color rgb="FFFF0000"/>
        <rFont val="微软雅黑"/>
        <family val="2"/>
        <charset val="134"/>
      </rPr>
      <t xml:space="preserve">? </t>
    </r>
    <r>
      <rPr>
        <sz val="11"/>
        <color rgb="FF000000"/>
        <rFont val="微软雅黑"/>
        <family val="2"/>
        <charset val="134"/>
      </rPr>
      <t xml:space="preserve"> sg_ses</t>
    </r>
    <r>
      <rPr>
        <sz val="11"/>
        <color rgb="FFFF0000"/>
        <rFont val="微软雅黑"/>
        <family val="2"/>
        <charset val="134"/>
      </rPr>
      <t>?</t>
    </r>
    <r>
      <rPr>
        <sz val="11"/>
        <color rgb="FF000000"/>
        <rFont val="微软雅黑"/>
        <family val="2"/>
        <charset val="134"/>
      </rPr>
      <t xml:space="preserve">
json文件关闭gas，重新打开cli工具
执行pvt getall</t>
    </r>
  </si>
  <si>
    <r>
      <rPr>
        <sz val="11"/>
        <color rgb="FF000000"/>
        <rFont val="微软雅黑"/>
        <family val="2"/>
        <charset val="134"/>
      </rPr>
      <t xml:space="preserve">以上所有case 居于UART，也都需要测试一次
</t>
    </r>
    <r>
      <rPr>
        <sz val="11"/>
        <color rgb="FF000000"/>
        <rFont val="微软雅黑"/>
        <family val="2"/>
        <charset val="134"/>
      </rPr>
      <t>所有显示参数内容待定</t>
    </r>
  </si>
  <si>
    <r>
      <rPr>
        <sz val="11"/>
        <color rgb="FF000000"/>
        <rFont val="微软雅黑"/>
        <family val="2"/>
        <charset val="134"/>
      </rPr>
      <t>cli_common.json修改端口和波特率，双击yd_cli命令行工具，提示uart链接成功后输入以下命令测试串口确保是通的:</t>
    </r>
    <r>
      <rPr>
        <sz val="11"/>
        <color rgb="FF000000"/>
        <rFont val="微软雅黑"/>
        <family val="2"/>
        <charset val="134"/>
      </rPr>
      <t xml:space="preserve">
gasrd 0x400000 8</t>
    </r>
    <r>
      <rPr>
        <sz val="11"/>
        <color rgb="FF000000"/>
        <rFont val="微软雅黑"/>
        <family val="2"/>
        <charset val="134"/>
      </rPr>
      <t xml:space="preserve">
执行yd_cli命令行工具，</t>
    </r>
  </si>
  <si>
    <r>
      <rPr>
        <sz val="11"/>
        <color rgb="FF000000"/>
        <rFont val="微软雅黑"/>
        <family val="2"/>
        <charset val="134"/>
      </rPr>
      <t>1.sudolink可以正常加载，可以正常操作reset device 模块；
2.output输出正常；
3.trace32 右下角 fw状态有running变成running（OSlock）；</t>
    </r>
    <r>
      <rPr>
        <sz val="11"/>
        <color rgb="FF000000"/>
        <rFont val="微软雅黑"/>
        <family val="2"/>
        <charset val="134"/>
      </rPr>
      <t>注：fpga平台目前状态效果是如此；回片实际物理机下执行reset模块，fw可以正常重启进入fw下</t>
    </r>
  </si>
  <si>
    <r>
      <rPr>
        <u/>
        <sz val="10"/>
        <color rgb="FF267EF0"/>
        <rFont val="微软雅黑"/>
        <family val="2"/>
        <charset val="134"/>
      </rPr>
      <t>YUNDUSIL-145</t>
    </r>
  </si>
  <si>
    <r>
      <rPr>
        <u/>
        <sz val="10"/>
        <color rgb="FF267EF0"/>
        <rFont val="微软雅黑"/>
        <family val="2"/>
        <charset val="134"/>
      </rPr>
      <t>YUNDUSIL-118</t>
    </r>
  </si>
  <si>
    <r>
      <rPr>
        <sz val="11"/>
        <color rgb="FF000000"/>
        <rFont val="微软雅黑"/>
        <family val="2"/>
        <charset val="134"/>
      </rPr>
      <t xml:space="preserve">5）nvme sudu gpiopin /dev/nvme0 -m 0 -f 3 </t>
    </r>
    <r>
      <rPr>
        <sz val="11"/>
        <color rgb="FFFF0000"/>
        <rFont val="微软雅黑"/>
        <family val="2"/>
        <charset val="134"/>
      </rPr>
      <t>-r 10</t>
    </r>
    <r>
      <rPr>
        <sz val="11"/>
        <color rgb="FF000000"/>
        <rFont val="微软雅黑"/>
        <family val="2"/>
        <charset val="134"/>
      </rPr>
      <t>#选择gpio 0为function 3，对应的port map为10
或者-f 5 -r 11</t>
    </r>
  </si>
  <si>
    <r>
      <rPr>
        <sz val="11"/>
        <color rgb="FF000000"/>
        <rFont val="微软雅黑"/>
        <family val="2"/>
        <charset val="134"/>
      </rPr>
      <t xml:space="preserve">0909日ASIC端口形态支持情况统计
</t>
    </r>
    <r>
      <rPr>
        <b/>
        <sz val="11"/>
        <color rgb="FFFF0000"/>
        <rFont val="微软雅黑"/>
        <family val="2"/>
        <charset val="134"/>
      </rPr>
      <t>说明：目前每个station只有1个port口可用，互斥</t>
    </r>
  </si>
  <si>
    <r>
      <rPr>
        <b/>
        <sz val="11"/>
        <color rgb="FF000000"/>
        <rFont val="微软雅黑"/>
        <family val="2"/>
        <charset val="134"/>
      </rPr>
      <t>GEN1 X4  128b MPS:</t>
    </r>
    <r>
      <rPr>
        <sz val="11"/>
        <color rgb="FF000000"/>
        <rFont val="微软雅黑"/>
        <family val="2"/>
        <charset val="134"/>
      </rPr>
      <t xml:space="preserve">
  RX-packets: 5650537    RX-missed: 0          RX-bytes:  8554654260
  RX-errors: 0
  RX-nombuf:  0         
  TX-packets: 580794     TX-errors: 0          TX-bytes:  38340235
  Throughput (since last show)
  Rx-pps:       222491          Rx-bps:   2694833256
  Tx-pps:        26322          Tx-bps:     13901072
</t>
    </r>
    <r>
      <rPr>
        <b/>
        <sz val="11"/>
        <color rgb="FF000000"/>
        <rFont val="微软雅黑"/>
        <family val="2"/>
        <charset val="134"/>
      </rPr>
      <t>GEN1 X4 256b MPS:</t>
    </r>
    <r>
      <rPr>
        <sz val="11"/>
        <color rgb="FF000000"/>
        <rFont val="微软雅黑"/>
        <family val="2"/>
        <charset val="134"/>
      </rPr>
      <t xml:space="preserve">
  RX-packets: 15854468   RX-missed: 0          RX-bytes:  24003594080
  RX-errors: 0
  RX-nombuf:  0         
  TX-packets: 931296     TX-errors: 0          TX-bytes:  61473482
  Throughput (since last show)
  Rx-pps:       244617          Rx-bps:   2962812552
  Tx-pps:        14053          Tx-bps:      7420280</t>
    </r>
  </si>
  <si>
    <t>众星微</t>
    <phoneticPr fontId="106" type="noConversion"/>
  </si>
  <si>
    <t>SD</t>
    <phoneticPr fontId="106"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</si>
</sst>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409]d\-mmm\-yy;@"/>
    <numFmt numFmtId="177" formatCode="General&quot;件&quot;"/>
    <numFmt numFmtId="178" formatCode="0.0"/>
  </numFmts>
  <fonts count="107">
    <font>
      <sz val="10"/>
      <color theme="1"/>
      <name val="等线"/>
      <family val="2"/>
      <charset val="134"/>
      <scheme val="minor"/>
    </font>
    <font>
      <b/>
      <sz val="11"/>
      <name val="等线"/>
      <family val="3"/>
      <charset val="134"/>
    </font>
    <font>
      <b/>
      <sz val="11"/>
      <color rgb="FF000000"/>
      <name val="等线"/>
      <family val="3"/>
      <charset val="134"/>
    </font>
    <font>
      <sz val="10"/>
      <name val="等线"/>
      <family val="3"/>
      <charset val="134"/>
    </font>
    <font>
      <b/>
      <sz val="11"/>
      <color rgb="FFDE3C36"/>
      <name val="等线"/>
      <family val="3"/>
      <charset val="134"/>
    </font>
    <font>
      <sz val="11"/>
      <name val="等线"/>
      <family val="3"/>
      <charset val="134"/>
    </font>
    <font>
      <sz val="11"/>
      <color theme="1"/>
      <name val="等线"/>
      <family val="3"/>
      <charset val="134"/>
    </font>
    <font>
      <sz val="9"/>
      <name val="等线"/>
      <family val="3"/>
      <charset val="134"/>
    </font>
    <font>
      <sz val="11"/>
      <name val="等线"/>
      <family val="3"/>
      <charset val="134"/>
    </font>
    <font>
      <strike/>
      <sz val="11"/>
      <name val="等线"/>
      <family val="3"/>
      <charset val="134"/>
    </font>
    <font>
      <sz val="11"/>
      <color rgb="FFFF0000"/>
      <name val="等线"/>
      <family val="3"/>
      <charset val="134"/>
    </font>
    <font>
      <b/>
      <sz val="11"/>
      <color rgb="FF00B050"/>
      <name val="等线"/>
      <family val="3"/>
      <charset val="134"/>
    </font>
    <font>
      <sz val="11"/>
      <color rgb="FF00B050"/>
      <name val="等线"/>
      <family val="3"/>
      <charset val="134"/>
    </font>
    <font>
      <sz val="11"/>
      <name val="等线"/>
      <family val="3"/>
      <charset val="134"/>
    </font>
    <font>
      <b/>
      <sz val="11"/>
      <name val="等线"/>
      <family val="3"/>
      <charset val="134"/>
    </font>
    <font>
      <b/>
      <sz val="11"/>
      <name val="等线"/>
      <family val="3"/>
      <charset val="134"/>
    </font>
    <font>
      <b/>
      <sz val="11"/>
      <color rgb="FF000000"/>
      <name val="等线"/>
      <family val="3"/>
      <charset val="134"/>
    </font>
    <font>
      <sz val="11"/>
      <color theme="1"/>
      <name val="等线"/>
      <family val="3"/>
      <charset val="134"/>
    </font>
    <font>
      <sz val="11"/>
      <name val="Microsoft YaHei"/>
      <family val="2"/>
      <charset val="134"/>
    </font>
    <font>
      <sz val="11"/>
      <name val="等线"/>
      <family val="3"/>
      <charset val="134"/>
    </font>
    <font>
      <sz val="11"/>
      <color rgb="FF000000"/>
      <name val="等线"/>
      <family val="3"/>
      <charset val="134"/>
    </font>
    <font>
      <sz val="11"/>
      <color rgb="FF000000"/>
      <name val="等线"/>
      <family val="3"/>
      <charset val="134"/>
    </font>
    <font>
      <sz val="9"/>
      <name val="等线"/>
      <family val="3"/>
      <charset val="134"/>
    </font>
    <font>
      <strike/>
      <sz val="11"/>
      <name val="等线"/>
      <family val="3"/>
      <charset val="134"/>
    </font>
    <font>
      <sz val="11"/>
      <name val="等线"/>
      <family val="3"/>
      <charset val="134"/>
    </font>
    <font>
      <strike/>
      <sz val="11"/>
      <color rgb="FF000000"/>
      <name val="等线"/>
      <family val="3"/>
      <charset val="134"/>
    </font>
    <font>
      <strike/>
      <sz val="11"/>
      <color theme="1"/>
      <name val="等线"/>
      <family val="3"/>
      <charset val="134"/>
    </font>
    <font>
      <strike/>
      <sz val="9"/>
      <name val="等线"/>
      <family val="3"/>
      <charset val="134"/>
    </font>
    <font>
      <sz val="11"/>
      <color rgb="FF000000"/>
      <name val="等线"/>
      <family val="3"/>
      <charset val="134"/>
    </font>
    <font>
      <sz val="11"/>
      <name val="等线"/>
      <family val="3"/>
      <charset val="134"/>
    </font>
    <font>
      <sz val="11"/>
      <name val="等线"/>
      <family val="3"/>
      <charset val="134"/>
    </font>
    <font>
      <sz val="11"/>
      <color rgb="FF000000"/>
      <name val="等线"/>
      <family val="3"/>
      <charset val="134"/>
    </font>
    <font>
      <sz val="11"/>
      <color rgb="FF000000"/>
      <name val="等线"/>
      <family val="3"/>
      <charset val="134"/>
    </font>
    <font>
      <sz val="9"/>
      <name val="等线"/>
      <family val="3"/>
      <charset val="134"/>
    </font>
    <font>
      <sz val="11"/>
      <name val="等线"/>
      <family val="3"/>
      <charset val="134"/>
    </font>
    <font>
      <sz val="11"/>
      <name val="等线"/>
      <family val="3"/>
      <charset val="134"/>
    </font>
    <font>
      <strike/>
      <sz val="11"/>
      <name val="等线"/>
      <family val="3"/>
      <charset val="134"/>
    </font>
    <font>
      <sz val="11"/>
      <color rgb="FFFF0000"/>
      <name val="等线"/>
      <family val="3"/>
      <charset val="134"/>
    </font>
    <font>
      <sz val="11"/>
      <color rgb="FF267EF0"/>
      <name val="等线"/>
      <family val="3"/>
      <charset val="134"/>
    </font>
    <font>
      <sz val="11"/>
      <color theme="1"/>
      <name val="等线"/>
      <family val="3"/>
      <charset val="134"/>
    </font>
    <font>
      <strike/>
      <sz val="11"/>
      <color rgb="FF000000"/>
      <name val="等线"/>
      <family val="3"/>
      <charset val="134"/>
    </font>
    <font>
      <strike/>
      <sz val="11"/>
      <color rgb="FF000000"/>
      <name val="等线"/>
      <family val="3"/>
      <charset val="134"/>
    </font>
    <font>
      <strike/>
      <sz val="11"/>
      <name val="等线"/>
      <family val="3"/>
      <charset val="134"/>
    </font>
    <font>
      <strike/>
      <sz val="9"/>
      <name val="等线"/>
      <family val="3"/>
      <charset val="134"/>
    </font>
    <font>
      <strike/>
      <sz val="11"/>
      <color theme="1"/>
      <name val="等线"/>
      <family val="3"/>
      <charset val="134"/>
    </font>
    <font>
      <sz val="11"/>
      <color theme="1"/>
      <name val="等线"/>
      <family val="3"/>
      <charset val="134"/>
    </font>
    <font>
      <sz val="11"/>
      <color theme="1"/>
      <name val="等线"/>
      <family val="3"/>
      <charset val="134"/>
    </font>
    <font>
      <strike/>
      <sz val="11"/>
      <color theme="1"/>
      <name val="等线"/>
      <family val="3"/>
      <charset val="134"/>
    </font>
    <font>
      <sz val="11"/>
      <color rgb="FF267EF0"/>
      <name val="等线"/>
      <family val="3"/>
      <charset val="134"/>
    </font>
    <font>
      <sz val="11"/>
      <color rgb="FF267EF0"/>
      <name val="等线"/>
      <family val="3"/>
      <charset val="134"/>
    </font>
    <font>
      <sz val="11"/>
      <name val="等线"/>
      <family val="3"/>
      <charset val="134"/>
    </font>
    <font>
      <sz val="11"/>
      <name val="等线"/>
      <family val="3"/>
      <charset val="134"/>
    </font>
    <font>
      <sz val="11"/>
      <color rgb="FFDE3C36"/>
      <name val="等线"/>
      <family val="3"/>
      <charset val="134"/>
    </font>
    <font>
      <sz val="11"/>
      <color rgb="FF000000"/>
      <name val="等线"/>
      <family val="3"/>
      <charset val="134"/>
    </font>
    <font>
      <strike/>
      <sz val="11"/>
      <color rgb="FFDE3C36"/>
      <name val="等线"/>
      <family val="3"/>
      <charset val="134"/>
    </font>
    <font>
      <sz val="11"/>
      <name val="等线"/>
      <family val="3"/>
      <charset val="134"/>
    </font>
    <font>
      <sz val="11"/>
      <color rgb="FF00B0F0"/>
      <name val="等线"/>
      <family val="3"/>
      <charset val="134"/>
    </font>
    <font>
      <sz val="9"/>
      <name val="等线"/>
      <family val="3"/>
      <charset val="134"/>
    </font>
    <font>
      <sz val="9"/>
      <name val="等线"/>
      <family val="3"/>
      <charset val="134"/>
    </font>
    <font>
      <sz val="9"/>
      <color rgb="FF212121"/>
      <name val="等线"/>
      <family val="3"/>
      <charset val="134"/>
    </font>
    <font>
      <b/>
      <sz val="11"/>
      <name val="等线"/>
      <family val="3"/>
      <charset val="134"/>
    </font>
    <font>
      <b/>
      <sz val="11"/>
      <name val="宋体"/>
      <family val="3"/>
      <charset val="134"/>
    </font>
    <font>
      <sz val="9"/>
      <color rgb="FF000000"/>
      <name val="SimSun"/>
      <family val="3"/>
      <charset val="134"/>
    </font>
    <font>
      <sz val="9"/>
      <name val="宋体"/>
      <family val="3"/>
      <charset val="134"/>
    </font>
    <font>
      <sz val="10"/>
      <color rgb="FF000000"/>
      <name val="Microsoft YaHei"/>
      <family val="2"/>
      <charset val="134"/>
    </font>
    <font>
      <sz val="11"/>
      <color rgb="FFDE3C36"/>
      <name val="等线"/>
      <family val="3"/>
      <charset val="134"/>
    </font>
    <font>
      <sz val="11"/>
      <color rgb="FF333333"/>
      <name val="等线"/>
      <family val="3"/>
      <charset val="134"/>
    </font>
    <font>
      <b/>
      <sz val="11"/>
      <name val="宋体"/>
      <family val="3"/>
      <charset val="134"/>
    </font>
    <font>
      <sz val="11"/>
      <name val="宋体"/>
      <family val="3"/>
      <charset val="134"/>
    </font>
    <font>
      <sz val="11"/>
      <color rgb="FF000000"/>
      <name val="宋体"/>
      <family val="3"/>
      <charset val="134"/>
    </font>
    <font>
      <sz val="16"/>
      <name val="等线"/>
      <family val="3"/>
      <charset val="134"/>
    </font>
    <font>
      <strike/>
      <sz val="10"/>
      <name val="等线"/>
      <family val="3"/>
      <charset val="134"/>
    </font>
    <font>
      <sz val="10"/>
      <color rgb="FFFF0000"/>
      <name val="等线"/>
      <family val="3"/>
      <charset val="134"/>
    </font>
    <font>
      <sz val="16"/>
      <name val="宋体"/>
      <family val="3"/>
      <charset val="134"/>
    </font>
    <font>
      <sz val="11"/>
      <color rgb="FFFF0000"/>
      <name val="宋体"/>
      <family val="3"/>
      <charset val="134"/>
    </font>
    <font>
      <b/>
      <sz val="10"/>
      <name val="等线"/>
      <family val="3"/>
      <charset val="134"/>
    </font>
    <font>
      <sz val="10"/>
      <color rgb="FF00B050"/>
      <name val="等线"/>
      <family val="3"/>
      <charset val="134"/>
    </font>
    <font>
      <sz val="10"/>
      <color rgb="FF2972F4"/>
      <name val="等线"/>
      <family val="3"/>
      <charset val="134"/>
    </font>
    <font>
      <sz val="10"/>
      <name val="等线"/>
      <family val="3"/>
      <charset val="134"/>
    </font>
    <font>
      <sz val="11"/>
      <color rgb="FF2972F4"/>
      <name val="等线"/>
      <family val="3"/>
      <charset val="134"/>
    </font>
    <font>
      <sz val="11"/>
      <color rgb="FF939393"/>
      <name val="等线"/>
      <family val="3"/>
      <charset val="134"/>
    </font>
    <font>
      <sz val="11"/>
      <color rgb="FFF5C400"/>
      <name val="等线"/>
      <family val="3"/>
      <charset val="134"/>
    </font>
    <font>
      <sz val="11"/>
      <color rgb="FF212121"/>
      <name val="等线"/>
      <family val="3"/>
      <charset val="134"/>
    </font>
    <font>
      <sz val="9"/>
      <color rgb="FFDE3C36"/>
      <name val="等线"/>
      <family val="3"/>
      <charset val="134"/>
    </font>
    <font>
      <sz val="9"/>
      <color rgb="FF212121"/>
      <name val="等线"/>
      <family val="3"/>
      <charset val="134"/>
    </font>
    <font>
      <sz val="9"/>
      <color rgb="FF212121"/>
      <name val="等线"/>
      <family val="3"/>
      <charset val="134"/>
    </font>
    <font>
      <sz val="9"/>
      <name val="等线"/>
      <family val="3"/>
      <charset val="134"/>
    </font>
    <font>
      <sz val="9"/>
      <name val="等线"/>
      <family val="3"/>
      <charset val="134"/>
    </font>
    <font>
      <b/>
      <sz val="11"/>
      <name val="等线"/>
      <family val="3"/>
      <charset val="134"/>
    </font>
    <font>
      <sz val="11"/>
      <color rgb="FF319B62"/>
      <name val="等线"/>
      <family val="3"/>
      <charset val="134"/>
    </font>
    <font>
      <strike/>
      <sz val="11"/>
      <color rgb="FF000000"/>
      <name val="微软雅黑"/>
      <family val="2"/>
      <charset val="134"/>
    </font>
    <font>
      <sz val="11"/>
      <color rgb="FF000000"/>
      <name val="微软雅黑"/>
      <family val="2"/>
      <charset val="134"/>
    </font>
    <font>
      <u/>
      <sz val="10"/>
      <color rgb="FF267EF0"/>
      <name val="微软雅黑"/>
      <family val="2"/>
      <charset val="134"/>
    </font>
    <font>
      <sz val="11"/>
      <color rgb="FFDE3C36"/>
      <name val="微软雅黑"/>
      <family val="2"/>
      <charset val="134"/>
    </font>
    <font>
      <b/>
      <sz val="11"/>
      <color rgb="FF000000"/>
      <name val="微软雅黑"/>
      <family val="2"/>
      <charset val="134"/>
    </font>
    <font>
      <b/>
      <sz val="11"/>
      <color rgb="FF000000"/>
      <name val="Helvetica Neue"/>
    </font>
    <font>
      <sz val="11"/>
      <color rgb="FFFF0000"/>
      <name val="微软雅黑"/>
      <family val="2"/>
      <charset val="134"/>
    </font>
    <font>
      <u/>
      <sz val="11"/>
      <color rgb="FF267EF0"/>
      <name val="微软雅黑"/>
      <family val="2"/>
      <charset val="134"/>
    </font>
    <font>
      <sz val="11"/>
      <color rgb="FF000000"/>
      <name val="Helvetica Neue"/>
    </font>
    <font>
      <u/>
      <sz val="11"/>
      <color rgb="FF267EF0"/>
      <name val="Helvetica Neue"/>
    </font>
    <font>
      <sz val="10"/>
      <color rgb="FF267EF0"/>
      <name val="Helvetica Neue"/>
    </font>
    <font>
      <sz val="10"/>
      <color rgb="FF267EF0"/>
      <name val="等线"/>
      <family val="3"/>
      <charset val="134"/>
    </font>
    <font>
      <sz val="10"/>
      <color rgb="FF000000"/>
      <name val="Helvetica Neue"/>
    </font>
    <font>
      <b/>
      <sz val="11"/>
      <color rgb="FFFF0000"/>
      <name val="微软雅黑"/>
      <family val="2"/>
      <charset val="134"/>
    </font>
    <font>
      <sz val="11"/>
      <color rgb="FF267EF0"/>
      <name val="微软雅黑"/>
      <family val="2"/>
      <charset val="134"/>
    </font>
    <font>
      <u/>
      <sz val="10"/>
      <color rgb="FF267EF0"/>
      <name val="Helvetica Neue"/>
    </font>
    <font>
      <sz val="9"/>
      <name val="等线"/>
      <family val="2"/>
      <charset val="134"/>
      <scheme val="minor"/>
    </font>
  </fonts>
  <fills count="27">
    <fill>
      <patternFill patternType="none"/>
    </fill>
    <fill>
      <patternFill patternType="gray125"/>
    </fill>
    <fill>
      <patternFill patternType="solid">
        <fgColor theme="7" tint="0.59999389629810485"/>
        <bgColor auto="1"/>
      </patternFill>
    </fill>
    <fill>
      <patternFill patternType="solid">
        <fgColor rgb="FFFFE699"/>
        <bgColor auto="1"/>
      </patternFill>
    </fill>
    <fill>
      <patternFill patternType="none"/>
    </fill>
    <fill>
      <patternFill patternType="none">
        <fgColor auto="1"/>
        <bgColor auto="1"/>
      </patternFill>
    </fill>
    <fill>
      <patternFill patternType="solid">
        <fgColor rgb="FFFFFFFF"/>
        <bgColor auto="1"/>
      </patternFill>
    </fill>
    <fill>
      <patternFill patternType="solid">
        <fgColor rgb="FFFF0000"/>
        <bgColor auto="1"/>
      </patternFill>
    </fill>
    <fill>
      <patternFill patternType="solid">
        <fgColor rgb="FFFFFF00"/>
        <bgColor auto="1"/>
      </patternFill>
    </fill>
    <fill>
      <patternFill patternType="solid">
        <fgColor rgb="FF8CDDFA"/>
        <bgColor auto="1"/>
      </patternFill>
    </fill>
    <fill>
      <patternFill patternType="solid">
        <fgColor rgb="FF00B050"/>
        <bgColor auto="1"/>
      </patternFill>
    </fill>
    <fill>
      <patternFill patternType="solid">
        <fgColor rgb="FF99BEFF"/>
        <bgColor auto="1"/>
      </patternFill>
    </fill>
    <fill>
      <patternFill patternType="none"/>
    </fill>
    <fill>
      <patternFill patternType="solid">
        <fgColor rgb="FF99DDFF"/>
        <bgColor auto="1"/>
      </patternFill>
    </fill>
    <fill>
      <patternFill patternType="solid">
        <fgColor rgb="FF92D050"/>
        <bgColor auto="1"/>
      </patternFill>
    </fill>
    <fill>
      <patternFill patternType="solid">
        <fgColor rgb="FF9BC2E6"/>
        <bgColor auto="1"/>
      </patternFill>
    </fill>
    <fill>
      <patternFill patternType="solid">
        <fgColor rgb="FFE2EFDA"/>
        <bgColor auto="1"/>
      </patternFill>
    </fill>
    <fill>
      <patternFill patternType="solid">
        <fgColor rgb="FFFFE270"/>
        <bgColor auto="1"/>
      </patternFill>
    </fill>
    <fill>
      <patternFill patternType="solid">
        <fgColor rgb="FFBFBFBF"/>
        <bgColor auto="1"/>
      </patternFill>
    </fill>
    <fill>
      <patternFill patternType="solid">
        <fgColor rgb="FFD8D8D8"/>
        <bgColor auto="1"/>
      </patternFill>
    </fill>
    <fill>
      <patternFill patternType="solid">
        <fgColor rgb="FFFFBA84"/>
        <bgColor auto="1"/>
      </patternFill>
    </fill>
    <fill>
      <patternFill patternType="solid">
        <fgColor rgb="FFC5CAD3"/>
        <bgColor auto="1"/>
      </patternFill>
    </fill>
    <fill>
      <patternFill patternType="solid">
        <fgColor rgb="FFE5F6FF"/>
        <bgColor auto="1"/>
      </patternFill>
    </fill>
    <fill>
      <patternFill patternType="solid">
        <fgColor rgb="FFF88825"/>
        <bgColor auto="1"/>
      </patternFill>
    </fill>
    <fill>
      <patternFill patternType="solid">
        <fgColor rgb="FF00B0F0"/>
        <bgColor auto="1"/>
      </patternFill>
    </fill>
    <fill>
      <patternFill patternType="solid">
        <fgColor rgb="FF98D7B6"/>
        <bgColor auto="1"/>
      </patternFill>
    </fill>
    <fill>
      <patternFill patternType="solid">
        <fgColor rgb="FFFFC000"/>
        <bgColor auto="1"/>
      </patternFill>
    </fill>
  </fills>
  <borders count="165">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diagonalUp="1" diagonalDown="1">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diagonal/>
    </border>
    <border>
      <left style="medium">
        <color rgb="FF000000"/>
      </left>
      <right style="thin">
        <color rgb="FF000000"/>
      </right>
      <top style="medium">
        <color rgb="FF000000"/>
      </top>
      <bottom/>
      <diagonal/>
    </border>
    <border>
      <left style="thin">
        <color rgb="FF000000"/>
      </left>
      <right style="thin">
        <color rgb="FF000000"/>
      </right>
      <top style="medium">
        <color rgb="FF000000"/>
      </top>
      <bottom/>
      <diagonal/>
    </border>
    <border>
      <left style="thin">
        <color rgb="FF000000"/>
      </left>
      <right style="medium">
        <color rgb="FF000000"/>
      </right>
      <top style="medium">
        <color rgb="FF000000"/>
      </top>
      <bottom/>
      <diagonal/>
    </border>
    <border>
      <left/>
      <right/>
      <top/>
      <bottom/>
      <diagonal/>
    </border>
    <border>
      <left style="medium">
        <color rgb="FF000000"/>
      </left>
      <right style="medium">
        <color rgb="FF000000"/>
      </right>
      <top style="medium">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diagonal/>
    </border>
    <border diagonalUp="1" diagonalDown="1">
      <left style="thin">
        <color rgb="FF000000"/>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style="thin">
        <color rgb="FF000000"/>
      </right>
      <top/>
      <bottom/>
      <diagonal/>
    </border>
    <border>
      <left style="thin">
        <color rgb="FF000000"/>
      </left>
      <right style="thin">
        <color rgb="FF000000"/>
      </right>
      <top/>
      <bottom/>
      <diagonal/>
    </border>
    <border>
      <left/>
      <right style="thin">
        <color rgb="FF000000"/>
      </right>
      <top/>
      <bottom/>
      <diagonal/>
    </border>
    <border>
      <left/>
      <right style="thin">
        <color rgb="FF000000"/>
      </right>
      <top/>
      <bottom/>
      <diagonal/>
    </border>
    <border>
      <left style="thin">
        <color rgb="FF000000"/>
      </left>
      <right style="thin">
        <color rgb="FF000000"/>
      </right>
      <top style="thin">
        <color rgb="FF000000"/>
      </top>
      <bottom/>
      <diagonal/>
    </border>
    <border diagonalUp="1" diagonalDown="1">
      <left style="medium">
        <color rgb="FF000000"/>
      </left>
      <right style="thin">
        <color rgb="FF000000"/>
      </right>
      <top style="medium">
        <color rgb="FF000000"/>
      </top>
      <bottom/>
      <diagonal/>
    </border>
    <border>
      <left style="medium">
        <color rgb="FF000000"/>
      </left>
      <right style="thin">
        <color rgb="FF000000"/>
      </right>
      <top style="medium">
        <color rgb="FF000000"/>
      </top>
      <bottom/>
      <diagonal/>
    </border>
    <border diagonalUp="1" diagonalDown="1">
      <left style="thin">
        <color rgb="FF000000"/>
      </left>
      <right style="thin">
        <color rgb="FF000000"/>
      </right>
      <top style="medium">
        <color rgb="FF000000"/>
      </top>
      <bottom/>
      <diagonal/>
    </border>
    <border diagonalUp="1" diagonalDown="1">
      <left style="thin">
        <color rgb="FF000000"/>
      </left>
      <right style="medium">
        <color rgb="FF000000"/>
      </right>
      <top style="medium">
        <color rgb="FF000000"/>
      </top>
      <bottom/>
      <diagonal/>
    </border>
    <border>
      <left style="thin">
        <color rgb="FF000000"/>
      </left>
      <right/>
      <top style="medium">
        <color rgb="FF000000"/>
      </top>
      <bottom/>
      <diagonal/>
    </border>
    <border>
      <left/>
      <right/>
      <top style="medium">
        <color rgb="FF000000"/>
      </top>
      <bottom/>
      <diagonal/>
    </border>
    <border>
      <left/>
      <right/>
      <top/>
      <bottom/>
      <diagonal/>
    </border>
    <border>
      <left/>
      <right/>
      <top/>
      <bottom/>
      <diagonal/>
    </border>
    <border>
      <left/>
      <right style="thin">
        <color rgb="FF000000"/>
      </right>
      <top/>
      <bottom/>
      <diagonal/>
    </border>
    <border>
      <left style="thin">
        <color rgb="FF000000"/>
      </left>
      <right style="thin">
        <color rgb="FF000000"/>
      </right>
      <top/>
      <bottom/>
      <diagonal/>
    </border>
    <border>
      <left style="thin">
        <color rgb="FF000000"/>
      </left>
      <right/>
      <top/>
      <bottom/>
      <diagonal/>
    </border>
    <border>
      <left style="thin">
        <color rgb="FF000000"/>
      </left>
      <right/>
      <top style="medium">
        <color rgb="FF000000"/>
      </top>
      <bottom/>
      <diagonal/>
    </border>
    <border>
      <left/>
      <right/>
      <top/>
      <bottom/>
      <diagonal/>
    </border>
    <border>
      <left style="thin">
        <color rgb="FF000000"/>
      </left>
      <right/>
      <top style="thin">
        <color rgb="FF000000"/>
      </top>
      <bottom/>
      <diagonal/>
    </border>
    <border>
      <left style="thin">
        <color rgb="FF000000"/>
      </left>
      <right/>
      <top/>
      <bottom style="thin">
        <color rgb="FF000000"/>
      </bottom>
      <diagonal/>
    </border>
    <border>
      <left style="thin">
        <color rgb="FF000000"/>
      </left>
      <right/>
      <top/>
      <bottom style="thin">
        <color rgb="FF000000"/>
      </bottom>
      <diagonal/>
    </border>
    <border>
      <left style="thin">
        <color rgb="FF000000"/>
      </left>
      <right/>
      <top/>
      <bottom/>
      <diagonal/>
    </border>
    <border>
      <left/>
      <right/>
      <top/>
      <bottom style="thin">
        <color rgb="FF000000"/>
      </bottom>
      <diagonal/>
    </border>
    <border>
      <left/>
      <right/>
      <top/>
      <bottom style="thin">
        <color rgb="FF000000"/>
      </bottom>
      <diagonal/>
    </border>
    <border>
      <left/>
      <right style="thin">
        <color rgb="FF000000"/>
      </right>
      <top style="thin">
        <color rgb="FF000000"/>
      </top>
      <bottom style="thin">
        <color rgb="FF000000"/>
      </bottom>
      <diagonal/>
    </border>
    <border diagonalUp="1" diagonalDown="1">
      <left style="thin">
        <color rgb="FF000000"/>
      </left>
      <right style="thin">
        <color rgb="FF000000"/>
      </right>
      <top/>
      <bottom style="thin">
        <color rgb="FF000000"/>
      </bottom>
      <diagonal/>
    </border>
    <border diagonalUp="1" diagonalDown="1">
      <left style="thin">
        <color rgb="FF000000"/>
      </left>
      <right/>
      <top style="thin">
        <color rgb="FF000000"/>
      </top>
      <bottom style="thin">
        <color rgb="FF000000"/>
      </bottom>
      <diagonal/>
    </border>
    <border>
      <left/>
      <right/>
      <top/>
      <bottom/>
      <diagonal/>
    </border>
    <border>
      <left/>
      <right/>
      <top style="thin">
        <color rgb="FF000000"/>
      </top>
      <bottom style="thin">
        <color rgb="FF000000"/>
      </bottom>
      <diagonal/>
    </border>
    <border diagonalUp="1" diagonalDown="1">
      <left style="thin">
        <color rgb="FF000000"/>
      </left>
      <right/>
      <top/>
      <bottom style="thin">
        <color rgb="FF000000"/>
      </bottom>
      <diagonal/>
    </border>
    <border diagonalUp="1" diagonalDown="1">
      <left/>
      <right/>
      <top/>
      <bottom/>
      <diagonal/>
    </border>
    <border>
      <left style="thin">
        <color rgb="FF000000"/>
      </left>
      <right/>
      <top style="thin">
        <color rgb="FF000000"/>
      </top>
      <bottom/>
      <diagonal/>
    </border>
    <border>
      <left style="thin">
        <color rgb="FF000000"/>
      </left>
      <right/>
      <top/>
      <bottom style="thin">
        <color rgb="FF000000"/>
      </bottom>
      <diagonal/>
    </border>
    <border>
      <left/>
      <right style="thin">
        <color rgb="FF000000"/>
      </right>
      <top style="thin">
        <color rgb="FF000000"/>
      </top>
      <bottom/>
      <diagonal/>
    </border>
    <border>
      <left style="thin">
        <color rgb="FF000000"/>
      </left>
      <right/>
      <top/>
      <bottom/>
      <diagonal/>
    </border>
    <border>
      <left style="thin">
        <color rgb="FF000000"/>
      </left>
      <right/>
      <top/>
      <bottom/>
      <diagonal/>
    </border>
    <border>
      <left/>
      <right/>
      <top/>
      <bottom style="thin">
        <color rgb="FF000000"/>
      </bottom>
      <diagonal/>
    </border>
    <border diagonalUp="1" diagonalDown="1">
      <left/>
      <right style="thin">
        <color rgb="FF000000"/>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top style="thin">
        <color rgb="FF000000"/>
      </top>
      <bottom/>
      <diagonal/>
    </border>
    <border>
      <left/>
      <right/>
      <top style="thin">
        <color rgb="FF000000"/>
      </top>
      <bottom/>
      <diagonal/>
    </border>
    <border>
      <left/>
      <right/>
      <top style="thin">
        <color rgb="FF000000"/>
      </top>
      <bottom/>
      <diagonal/>
    </border>
    <border>
      <left/>
      <right/>
      <top/>
      <bottom style="thin">
        <color rgb="FF000000"/>
      </bottom>
      <diagonal/>
    </border>
    <border diagonalUp="1" diagonalDown="1">
      <left/>
      <right/>
      <top/>
      <bottom/>
      <diagonal/>
    </border>
    <border>
      <left style="thin">
        <color rgb="FF000000"/>
      </left>
      <right/>
      <top/>
      <bottom/>
      <diagonal/>
    </border>
    <border diagonalUp="1" diagonalDown="1">
      <left style="thin">
        <color rgb="FF000000"/>
      </left>
      <right style="thin">
        <color rgb="FF000000"/>
      </right>
      <top style="thin">
        <color rgb="FF000000"/>
      </top>
      <bottom style="thin">
        <color rgb="FF000000"/>
      </bottom>
      <diagonal/>
    </border>
    <border>
      <left/>
      <right/>
      <top/>
      <bottom/>
      <diagonal/>
    </border>
    <border>
      <left/>
      <right/>
      <top/>
      <bottom style="mediumDashed">
        <color rgb="FF000000"/>
      </bottom>
      <diagonal/>
    </border>
    <border>
      <left style="thin">
        <color rgb="FF000000"/>
      </left>
      <right style="thin">
        <color rgb="FF000000"/>
      </right>
      <top style="thin">
        <color rgb="FF000000"/>
      </top>
      <bottom style="thin">
        <color rgb="FF000000"/>
      </bottom>
      <diagonal/>
    </border>
    <border>
      <left/>
      <right style="thin">
        <color rgb="FF000000"/>
      </right>
      <top/>
      <bottom style="thin">
        <color rgb="FF000000"/>
      </bottom>
      <diagonal/>
    </border>
    <border diagonalUp="1" diagonalDown="1">
      <left style="thin">
        <color rgb="FF9BC2E6"/>
      </left>
      <right style="thin">
        <color rgb="FF9BC2E6"/>
      </right>
      <top style="thin">
        <color rgb="FF9BC2E6"/>
      </top>
      <bottom style="thin">
        <color rgb="FF000000"/>
      </bottom>
      <diagonal/>
    </border>
    <border diagonalUp="1" diagonalDown="1">
      <left style="thin">
        <color rgb="FF000000"/>
      </left>
      <right style="thin">
        <color rgb="FF000000"/>
      </right>
      <top style="thin">
        <color rgb="FF000000"/>
      </top>
      <bottom style="thin">
        <color rgb="FFE2EFDA"/>
      </bottom>
      <diagonal/>
    </border>
    <border diagonalUp="1" diagonalDown="1">
      <left style="thin">
        <color rgb="FF000000"/>
      </left>
      <right style="thin">
        <color rgb="FF000000"/>
      </right>
      <top style="thin">
        <color rgb="FFE2EFDA"/>
      </top>
      <bottom style="thin">
        <color rgb="FFE2EFDA"/>
      </bottom>
      <diagonal/>
    </border>
    <border diagonalUp="1" diagonalDown="1">
      <left style="thin">
        <color rgb="FF000000"/>
      </left>
      <right style="thin">
        <color rgb="FF000000"/>
      </right>
      <top style="thin">
        <color rgb="FFE2EFDA"/>
      </top>
      <bottom style="thin">
        <color rgb="FF000000"/>
      </bottom>
      <diagonal/>
    </border>
    <border>
      <left style="medium">
        <color rgb="FF000000"/>
      </left>
      <right style="thin">
        <color rgb="FF000000"/>
      </right>
      <top style="medium">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style="thin">
        <color rgb="FF000000"/>
      </left>
      <right/>
      <top/>
      <bottom style="thin">
        <color rgb="FF000000"/>
      </bottom>
      <diagonal/>
    </border>
    <border>
      <left/>
      <right/>
      <top/>
      <bottom style="thin">
        <color rgb="FF000000"/>
      </bottom>
      <diagonal/>
    </border>
    <border>
      <left style="thin">
        <color rgb="FF000000"/>
      </left>
      <right/>
      <top style="thin">
        <color rgb="FFA9D08E"/>
      </top>
      <bottom style="thin">
        <color rgb="FF000000"/>
      </bottom>
      <diagonal/>
    </border>
    <border>
      <left style="thin">
        <color rgb="FF000000"/>
      </left>
      <right/>
      <top style="thin">
        <color rgb="FFA9D08E"/>
      </top>
      <bottom/>
      <diagonal/>
    </border>
    <border>
      <left style="thin">
        <color rgb="FF000000"/>
      </left>
      <right/>
      <top style="thin">
        <color rgb="FFA9D08E"/>
      </top>
      <bottom style="thin">
        <color rgb="FF000000"/>
      </bottom>
      <diagonal/>
    </border>
    <border>
      <left/>
      <right/>
      <top style="thin">
        <color rgb="FFA9D08E"/>
      </top>
      <bottom style="thin">
        <color rgb="FF000000"/>
      </bottom>
      <diagonal/>
    </border>
    <border>
      <left/>
      <right/>
      <top style="thin">
        <color rgb="FFA9D08E"/>
      </top>
      <bottom style="thin">
        <color rgb="FF000000"/>
      </bottom>
      <diagonal/>
    </border>
    <border>
      <left style="thin">
        <color rgb="FF000000"/>
      </left>
      <right style="thin">
        <color rgb="FF000000"/>
      </right>
      <top/>
      <bottom style="thin">
        <color rgb="FF000000"/>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diagonalUp="1" diagonalDown="1">
      <left/>
      <right/>
      <top/>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style="medium">
        <color rgb="FF000000"/>
      </left>
      <right style="thin">
        <color rgb="FF000000"/>
      </right>
      <top/>
      <bottom style="thin">
        <color rgb="FF000000"/>
      </bottom>
      <diagonal/>
    </border>
    <border>
      <left style="thin">
        <color rgb="FF000000"/>
      </left>
      <right style="medium">
        <color rgb="FF000000"/>
      </right>
      <top/>
      <bottom style="thin">
        <color rgb="FF000000"/>
      </bottom>
      <diagonal/>
    </border>
    <border>
      <left/>
      <right style="medium">
        <color rgb="FF000000"/>
      </right>
      <top style="thin">
        <color rgb="FF000000"/>
      </top>
      <bottom style="thin">
        <color rgb="FF000000"/>
      </bottom>
      <diagonal/>
    </border>
    <border diagonalUp="1" diagonalDown="1">
      <left style="thin">
        <color rgb="FF000000"/>
      </left>
      <right/>
      <top/>
      <bottom/>
      <diagonal/>
    </border>
    <border diagonalUp="1" diagonalDown="1">
      <left style="thin">
        <color rgb="FF000000"/>
      </left>
      <right style="thin">
        <color rgb="FF000000"/>
      </right>
      <top style="thin">
        <color rgb="FF000000"/>
      </top>
      <bottom style="thin">
        <color rgb="FF000000"/>
      </bottom>
      <diagonal/>
    </border>
    <border diagonalUp="1" diagonalDown="1">
      <left style="thin">
        <color rgb="FF000000"/>
      </left>
      <right style="thin">
        <color rgb="FF000000"/>
      </right>
      <top style="thin">
        <color rgb="FF000000"/>
      </top>
      <bottom style="thin">
        <color rgb="FF000000"/>
      </bottom>
      <diagonal/>
    </border>
    <border>
      <left/>
      <right/>
      <top style="thin">
        <color rgb="FF000000"/>
      </top>
      <bottom style="thin">
        <color rgb="FF000000"/>
      </bottom>
      <diagonal/>
    </border>
    <border diagonalUp="1" diagonalDown="1">
      <left/>
      <right/>
      <top/>
      <bottom/>
      <diagonal/>
    </border>
    <border diagonalUp="1" diagonalDown="1">
      <left/>
      <right/>
      <top/>
      <bottom/>
      <diagonal/>
    </border>
    <border>
      <left style="thin">
        <color rgb="FF000000"/>
      </left>
      <right/>
      <top style="medium">
        <color rgb="FF000000"/>
      </top>
      <bottom style="thin">
        <color rgb="FF000000"/>
      </bottom>
      <diagonal/>
    </border>
    <border diagonalUp="1" diagonalDown="1">
      <left style="medium">
        <color rgb="FF000000"/>
      </left>
      <right/>
      <top style="medium">
        <color rgb="FF000000"/>
      </top>
      <bottom style="thin">
        <color rgb="FF000000"/>
      </bottom>
      <diagonal/>
    </border>
    <border diagonalUp="1" diagonalDown="1">
      <left style="medium">
        <color rgb="FF0D0D0D"/>
      </left>
      <right style="medium">
        <color rgb="FF0D0D0D"/>
      </right>
      <top style="medium">
        <color rgb="FF0D0D0D"/>
      </top>
      <bottom style="medium">
        <color rgb="FF0D0D0D"/>
      </bottom>
      <diagonal/>
    </border>
    <border diagonalUp="1" diagonalDown="1">
      <left/>
      <right/>
      <top/>
      <bottom/>
      <diagonal/>
    </border>
    <border>
      <left style="thick">
        <color rgb="FF0D0D0D"/>
      </left>
      <right/>
      <top style="thin">
        <color rgb="FF000000"/>
      </top>
      <bottom style="thin">
        <color rgb="FF000000"/>
      </bottom>
      <diagonal/>
    </border>
    <border>
      <left style="medium">
        <color rgb="FF000000"/>
      </left>
      <right/>
      <top style="thin">
        <color rgb="FF000000"/>
      </top>
      <bottom style="thin">
        <color rgb="FF000000"/>
      </bottom>
      <diagonal/>
    </border>
    <border>
      <left style="medium">
        <color rgb="FF0D0D0D"/>
      </left>
      <right style="medium">
        <color rgb="FF0D0D0D"/>
      </right>
      <top style="medium">
        <color rgb="FF0D0D0D"/>
      </top>
      <bottom style="medium">
        <color rgb="FF0D0D0D"/>
      </bottom>
      <diagonal/>
    </border>
    <border>
      <left style="medium">
        <color rgb="FF000000"/>
      </left>
      <right/>
      <top style="thin">
        <color rgb="FF000000"/>
      </top>
      <bottom style="medium">
        <color rgb="FF000000"/>
      </bottom>
      <diagonal/>
    </border>
    <border>
      <left/>
      <right/>
      <top/>
      <bottom/>
      <diagonal/>
    </border>
    <border diagonalUp="1" diagonalDown="1">
      <left/>
      <right/>
      <top/>
      <bottom/>
      <diagonal/>
    </border>
    <border diagonalUp="1" diagonalDown="1">
      <left/>
      <right/>
      <top/>
      <bottom/>
      <diagonal/>
    </border>
    <border>
      <left style="thick">
        <color rgb="FF0D0D0D"/>
      </left>
      <right/>
      <top style="thin">
        <color rgb="FF000000"/>
      </top>
      <bottom style="medium">
        <color rgb="FF000000"/>
      </bottom>
      <diagonal/>
    </border>
    <border>
      <left style="thin">
        <color rgb="FF000000"/>
      </left>
      <right/>
      <top style="thin">
        <color rgb="FF000000"/>
      </top>
      <bottom style="medium">
        <color rgb="FF000000"/>
      </bottom>
      <diagonal/>
    </border>
    <border diagonalUp="1" diagonalDown="1">
      <left/>
      <right/>
      <top/>
      <bottom/>
      <diagonal/>
    </border>
    <border>
      <left/>
      <right style="medium">
        <color rgb="FF000000"/>
      </right>
      <top/>
      <bottom style="thin">
        <color rgb="FF000000"/>
      </bottom>
      <diagonal/>
    </border>
    <border diagonalUp="1" diagonalDown="1">
      <left/>
      <right/>
      <top/>
      <bottom/>
      <diagonal/>
    </border>
    <border>
      <left style="thick">
        <color rgb="FF0D0D0D"/>
      </left>
      <right/>
      <top style="thin">
        <color rgb="FF000000"/>
      </top>
      <bottom style="thin">
        <color rgb="FF000000"/>
      </bottom>
      <diagonal/>
    </border>
    <border>
      <left style="thick">
        <color rgb="FF0D0D0D"/>
      </left>
      <right/>
      <top style="thin">
        <color rgb="FF000000"/>
      </top>
      <bottom style="medium">
        <color rgb="FF000000"/>
      </bottom>
      <diagonal/>
    </border>
    <border>
      <left/>
      <right style="medium">
        <color rgb="FF000000"/>
      </right>
      <top style="thin">
        <color rgb="FF000000"/>
      </top>
      <bottom style="medium">
        <color rgb="FF000000"/>
      </bottom>
      <diagonal/>
    </border>
    <border diagonalUp="1" diagonalDown="1">
      <left/>
      <right style="thin">
        <color rgb="FF000000"/>
      </right>
      <top style="thin">
        <color rgb="FF000000"/>
      </top>
      <bottom/>
      <diagonal/>
    </border>
    <border diagonalUp="1" diagonalDown="1">
      <left style="thin">
        <color rgb="FF000000"/>
      </left>
      <right style="thin">
        <color rgb="FF000000"/>
      </right>
      <top style="thin">
        <color rgb="FF000000"/>
      </top>
      <bottom/>
      <diagonal/>
    </border>
    <border diagonalUp="1" diagonalDown="1">
      <left style="medium">
        <color rgb="FF000000"/>
      </left>
      <right style="thin">
        <color rgb="FF000000"/>
      </right>
      <top style="medium">
        <color rgb="FF000000"/>
      </top>
      <bottom style="thin">
        <color rgb="FF000000"/>
      </bottom>
      <diagonal/>
    </border>
    <border diagonalUp="1" diagonalDown="1">
      <left style="thin">
        <color rgb="FF000000"/>
      </left>
      <right style="thin">
        <color rgb="FF000000"/>
      </right>
      <top style="medium">
        <color rgb="FF000000"/>
      </top>
      <bottom style="thin">
        <color rgb="FF000000"/>
      </bottom>
      <diagonal/>
    </border>
    <border diagonalUp="1" diagonalDown="1">
      <left style="thin">
        <color rgb="FF000000"/>
      </left>
      <right style="thin">
        <color rgb="FF000000"/>
      </right>
      <top style="medium">
        <color rgb="FF000000"/>
      </top>
      <bottom style="thin">
        <color rgb="FF000000"/>
      </bottom>
      <diagonal/>
    </border>
    <border diagonalUp="1" diagonalDown="1">
      <left style="thin">
        <color rgb="FF000000"/>
      </left>
      <right/>
      <top style="medium">
        <color rgb="FF000000"/>
      </top>
      <bottom style="thin">
        <color rgb="FF000000"/>
      </bottom>
      <diagonal/>
    </border>
    <border diagonalUp="1" diagonalDown="1">
      <left style="medium">
        <color rgb="FF000000"/>
      </left>
      <right style="thin">
        <color rgb="FF000000"/>
      </right>
      <top style="medium">
        <color rgb="FF000000"/>
      </top>
      <bottom style="thin">
        <color rgb="FF000000"/>
      </bottom>
      <diagonal/>
    </border>
    <border diagonalUp="1" diagonalDown="1">
      <left style="medium">
        <color rgb="FF000000"/>
      </left>
      <right style="thin">
        <color rgb="FF000000"/>
      </right>
      <top style="thin">
        <color rgb="FF000000"/>
      </top>
      <bottom style="thin">
        <color rgb="FF000000"/>
      </bottom>
      <diagonal/>
    </border>
    <border diagonalUp="1" diagonalDown="1">
      <left style="thin">
        <color rgb="FF000000"/>
      </left>
      <right/>
      <top style="thin">
        <color rgb="FF000000"/>
      </top>
      <bottom style="thin">
        <color rgb="FF000000"/>
      </bottom>
      <diagonal/>
    </border>
    <border diagonalUp="1" diagonalDown="1">
      <left style="thin">
        <color rgb="FF000000"/>
      </left>
      <right style="medium">
        <color rgb="FF000000"/>
      </right>
      <top style="thin">
        <color rgb="FF000000"/>
      </top>
      <bottom style="thin">
        <color rgb="FF000000"/>
      </bottom>
      <diagonal/>
    </border>
    <border diagonalUp="1" diagonalDown="1">
      <left style="thin">
        <color rgb="FF000000"/>
      </left>
      <right/>
      <top style="thin">
        <color rgb="FF000000"/>
      </top>
      <bottom style="thin">
        <color rgb="FF000000"/>
      </bottom>
      <diagonal/>
    </border>
    <border diagonalUp="1" diagonalDown="1">
      <left style="medium">
        <color rgb="FF000000"/>
      </left>
      <right style="thin">
        <color rgb="FF000000"/>
      </right>
      <top style="thin">
        <color rgb="FF000000"/>
      </top>
      <bottom style="thin">
        <color rgb="FF000000"/>
      </bottom>
      <diagonal/>
    </border>
    <border diagonalUp="1" diagonalDown="1">
      <left style="medium">
        <color rgb="FF000000"/>
      </left>
      <right style="thin">
        <color rgb="FF000000"/>
      </right>
      <top/>
      <bottom style="medium">
        <color rgb="FF000000"/>
      </bottom>
      <diagonal/>
    </border>
    <border diagonalUp="1" diagonalDown="1">
      <left style="thin">
        <color rgb="FF000000"/>
      </left>
      <right style="thin">
        <color rgb="FF000000"/>
      </right>
      <top/>
      <bottom style="medium">
        <color rgb="FF000000"/>
      </bottom>
      <diagonal/>
    </border>
    <border diagonalUp="1" diagonalDown="1">
      <left style="thin">
        <color rgb="FF000000"/>
      </left>
      <right style="thin">
        <color rgb="FF000000"/>
      </right>
      <top/>
      <bottom style="medium">
        <color rgb="FF000000"/>
      </bottom>
      <diagonal/>
    </border>
    <border diagonalUp="1" diagonalDown="1">
      <left style="thin">
        <color rgb="FF000000"/>
      </left>
      <right/>
      <top/>
      <bottom style="medium">
        <color rgb="FF000000"/>
      </bottom>
      <diagonal/>
    </border>
    <border diagonalUp="1" diagonalDown="1">
      <left style="medium">
        <color rgb="FF000000"/>
      </left>
      <right style="thin">
        <color rgb="FF000000"/>
      </right>
      <top style="thin">
        <color rgb="FF000000"/>
      </top>
      <bottom style="medium">
        <color rgb="FF000000"/>
      </bottom>
      <diagonal/>
    </border>
    <border diagonalUp="1" diagonalDown="1">
      <left style="thin">
        <color rgb="FF000000"/>
      </left>
      <right style="thin">
        <color rgb="FF000000"/>
      </right>
      <top style="thin">
        <color rgb="FF000000"/>
      </top>
      <bottom style="medium">
        <color rgb="FF000000"/>
      </bottom>
      <diagonal/>
    </border>
    <border diagonalUp="1" diagonalDown="1">
      <left/>
      <right/>
      <top/>
      <bottom/>
      <diagonal/>
    </border>
    <border diagonalUp="1" diagonalDown="1">
      <left style="medium">
        <color rgb="FF000000"/>
      </left>
      <right/>
      <top style="medium">
        <color rgb="FF000000"/>
      </top>
      <bottom style="thin">
        <color rgb="FF000000"/>
      </bottom>
      <diagonal/>
    </border>
    <border>
      <left/>
      <right/>
      <top style="medium">
        <color rgb="FF000000"/>
      </top>
      <bottom style="thin">
        <color rgb="FF000000"/>
      </bottom>
      <diagonal/>
    </border>
    <border>
      <left/>
      <right/>
      <top style="medium">
        <color rgb="FF000000"/>
      </top>
      <bottom style="thin">
        <color rgb="FF000000"/>
      </bottom>
      <diagonal/>
    </border>
    <border diagonalUp="1" diagonalDown="1">
      <left style="medium">
        <color rgb="FF000000"/>
      </left>
      <right style="thin">
        <color rgb="FF000000"/>
      </right>
      <top style="thin">
        <color rgb="FF000000"/>
      </top>
      <bottom/>
      <diagonal/>
    </border>
    <border diagonalUp="1" diagonalDown="1">
      <left style="thin">
        <color rgb="FF000000"/>
      </left>
      <right style="thin">
        <color rgb="FF000000"/>
      </right>
      <top style="thin">
        <color rgb="FF000000"/>
      </top>
      <bottom/>
      <diagonal/>
    </border>
    <border diagonalUp="1" diagonalDown="1">
      <left style="thin">
        <color rgb="FF000000"/>
      </left>
      <right style="thin">
        <color rgb="FF000000"/>
      </right>
      <top style="thin">
        <color rgb="FF000000"/>
      </top>
      <bottom style="medium">
        <color rgb="FF000000"/>
      </bottom>
      <diagonal/>
    </border>
    <border diagonalUp="1" diagonalDown="1">
      <left style="thin">
        <color rgb="FF000000"/>
      </left>
      <right/>
      <top style="thin">
        <color rgb="FF000000"/>
      </top>
      <bottom style="medium">
        <color rgb="FF000000"/>
      </bottom>
      <diagonal/>
    </border>
    <border diagonalUp="1" diagonalDown="1">
      <left style="medium">
        <color rgb="FF000000"/>
      </left>
      <right style="thin">
        <color rgb="FF000000"/>
      </right>
      <top/>
      <bottom style="medium">
        <color rgb="FF000000"/>
      </bottom>
      <diagonal/>
    </border>
    <border diagonalUp="1" diagonalDown="1">
      <left style="thin">
        <color rgb="FF000000"/>
      </left>
      <right style="thin">
        <color rgb="FF000000"/>
      </right>
      <top/>
      <bottom style="medium">
        <color rgb="FF000000"/>
      </bottom>
      <diagonal/>
    </border>
    <border>
      <left/>
      <right style="medium">
        <color rgb="FF000000"/>
      </right>
      <top/>
      <bottom style="medium">
        <color rgb="FF000000"/>
      </bottom>
      <diagonal/>
    </border>
    <border diagonalUp="1" diagonalDown="1">
      <left/>
      <right/>
      <top/>
      <bottom/>
      <diagonal/>
    </border>
    <border diagonalUp="1" diagonalDown="1">
      <left style="thin">
        <color rgb="FF000000"/>
      </left>
      <right/>
      <top/>
      <bottom/>
      <diagonal/>
    </border>
  </borders>
  <cellStyleXfs count="1">
    <xf numFmtId="0" fontId="0" fillId="0" borderId="0">
      <alignment vertical="center"/>
    </xf>
  </cellStyleXfs>
  <cellXfs count="1054">
    <xf numFmtId="0" fontId="0" fillId="0" borderId="0" xfId="0">
      <alignment vertical="center"/>
    </xf>
    <xf numFmtId="0" fontId="1" fillId="2" borderId="1" xfId="0" applyFont="1" applyFill="1" applyBorder="1" applyAlignment="1">
      <alignment horizontal="center" vertical="center" wrapText="1"/>
    </xf>
    <xf numFmtId="0" fontId="1" fillId="3" borderId="1" xfId="0" applyFont="1" applyFill="1" applyBorder="1" applyAlignment="1">
      <alignment horizontal="center" vertical="center"/>
    </xf>
    <xf numFmtId="0" fontId="1" fillId="3" borderId="1" xfId="0" applyFont="1" applyFill="1" applyBorder="1" applyAlignment="1">
      <alignment horizontal="center" vertical="center" wrapText="1"/>
    </xf>
    <xf numFmtId="0" fontId="5" fillId="4" borderId="7" xfId="0" applyFont="1" applyFill="1" applyBorder="1" applyAlignment="1">
      <alignment horizontal="left" vertical="center"/>
    </xf>
    <xf numFmtId="0" fontId="5" fillId="4" borderId="7" xfId="0" applyFont="1" applyFill="1" applyBorder="1" applyAlignment="1">
      <alignment horizontal="left" vertical="center" wrapText="1"/>
    </xf>
    <xf numFmtId="176" fontId="5" fillId="0" borderId="7" xfId="0" applyNumberFormat="1" applyFont="1" applyBorder="1" applyAlignment="1">
      <alignment horizontal="left" vertical="center" wrapText="1"/>
    </xf>
    <xf numFmtId="176" fontId="5" fillId="4" borderId="7" xfId="0" applyNumberFormat="1" applyFont="1" applyFill="1" applyBorder="1" applyAlignment="1">
      <alignment horizontal="left" vertical="center" wrapText="1"/>
    </xf>
    <xf numFmtId="0" fontId="6" fillId="4" borderId="7" xfId="0" applyFont="1" applyFill="1" applyBorder="1" applyAlignment="1">
      <alignment horizontal="left" vertical="center" wrapText="1"/>
    </xf>
    <xf numFmtId="0" fontId="7" fillId="5" borderId="7" xfId="0" applyFont="1" applyFill="1" applyBorder="1" applyAlignment="1">
      <alignment horizontal="left" vertical="center"/>
    </xf>
    <xf numFmtId="0" fontId="7" fillId="0" borderId="7" xfId="0" applyFont="1" applyBorder="1" applyAlignment="1">
      <alignment horizontal="left" vertical="center"/>
    </xf>
    <xf numFmtId="0" fontId="8" fillId="0" borderId="8" xfId="0" applyFont="1" applyBorder="1" applyAlignment="1">
      <alignment horizontal="left" vertical="center" wrapText="1"/>
    </xf>
    <xf numFmtId="0" fontId="1" fillId="6" borderId="9" xfId="0" applyFont="1" applyFill="1" applyBorder="1" applyAlignment="1">
      <alignment horizontal="left" vertical="center"/>
    </xf>
    <xf numFmtId="0" fontId="1" fillId="6" borderId="1" xfId="0" applyFont="1" applyFill="1" applyBorder="1" applyAlignment="1">
      <alignment horizontal="left" vertical="center"/>
    </xf>
    <xf numFmtId="0" fontId="5" fillId="0" borderId="10" xfId="0" applyFont="1" applyBorder="1" applyAlignment="1">
      <alignment horizontal="left" vertical="center"/>
    </xf>
    <xf numFmtId="0" fontId="5" fillId="0" borderId="1" xfId="0" applyFont="1" applyBorder="1" applyAlignment="1">
      <alignment horizontal="left" vertical="center"/>
    </xf>
    <xf numFmtId="0" fontId="5" fillId="0" borderId="1" xfId="0" applyFont="1" applyBorder="1" applyAlignment="1">
      <alignment horizontal="left" vertical="center" wrapText="1"/>
    </xf>
    <xf numFmtId="176" fontId="5" fillId="0" borderId="10" xfId="0" applyNumberFormat="1" applyFont="1" applyBorder="1" applyAlignment="1">
      <alignment horizontal="left" vertical="center" wrapText="1"/>
    </xf>
    <xf numFmtId="176" fontId="5" fillId="0" borderId="1" xfId="0" applyNumberFormat="1" applyFont="1" applyBorder="1" applyAlignment="1">
      <alignment horizontal="left" vertical="center" wrapText="1"/>
    </xf>
    <xf numFmtId="0" fontId="6" fillId="0" borderId="1" xfId="0" applyFont="1" applyBorder="1" applyAlignment="1">
      <alignment horizontal="left" vertical="center" wrapText="1"/>
    </xf>
    <xf numFmtId="0" fontId="6" fillId="0" borderId="10" xfId="0" applyFont="1" applyBorder="1" applyAlignment="1">
      <alignment horizontal="left" vertical="center" wrapText="1"/>
    </xf>
    <xf numFmtId="0" fontId="7" fillId="0" borderId="1" xfId="0" applyFont="1" applyBorder="1" applyAlignment="1">
      <alignment horizontal="left" vertical="center"/>
    </xf>
    <xf numFmtId="0" fontId="8" fillId="0" borderId="11" xfId="0" applyFont="1" applyBorder="1" applyAlignment="1">
      <alignment horizontal="left" vertical="center" wrapText="1"/>
    </xf>
    <xf numFmtId="0" fontId="5" fillId="0" borderId="9" xfId="0" applyFont="1" applyBorder="1" applyAlignment="1">
      <alignment horizontal="left" vertical="center"/>
    </xf>
    <xf numFmtId="0" fontId="7" fillId="0" borderId="12" xfId="0" applyFont="1" applyBorder="1" applyAlignment="1">
      <alignment horizontal="left" vertical="center"/>
    </xf>
    <xf numFmtId="0" fontId="9" fillId="0" borderId="9" xfId="0" applyFont="1" applyBorder="1" applyAlignment="1">
      <alignment horizontal="left" vertical="center" wrapText="1"/>
    </xf>
    <xf numFmtId="0" fontId="5" fillId="6" borderId="1" xfId="0" applyFont="1" applyFill="1" applyBorder="1" applyAlignment="1">
      <alignment horizontal="left" vertical="center" wrapText="1"/>
    </xf>
    <xf numFmtId="0" fontId="9" fillId="0" borderId="9" xfId="0" applyFont="1" applyBorder="1" applyAlignment="1">
      <alignment horizontal="left" vertical="center"/>
    </xf>
    <xf numFmtId="0" fontId="0" fillId="0" borderId="9" xfId="0" applyBorder="1" applyAlignment="1">
      <alignment horizontal="left" vertical="center"/>
    </xf>
    <xf numFmtId="0" fontId="0" fillId="0" borderId="1" xfId="0" applyBorder="1" applyAlignment="1">
      <alignment horizontal="left" vertical="center"/>
    </xf>
    <xf numFmtId="0" fontId="10" fillId="0" borderId="9" xfId="0" applyFont="1" applyBorder="1" applyAlignment="1">
      <alignment horizontal="left" vertical="center" wrapText="1"/>
    </xf>
    <xf numFmtId="0" fontId="1" fillId="6" borderId="9" xfId="0" applyFont="1" applyFill="1" applyBorder="1" applyAlignment="1">
      <alignment horizontal="left" vertical="center" wrapText="1"/>
    </xf>
    <xf numFmtId="0" fontId="1" fillId="6" borderId="1" xfId="0" applyFont="1" applyFill="1" applyBorder="1" applyAlignment="1">
      <alignment horizontal="left" vertical="center" wrapText="1"/>
    </xf>
    <xf numFmtId="0" fontId="5" fillId="0" borderId="9" xfId="0" applyFont="1" applyBorder="1" applyAlignment="1">
      <alignment horizontal="left" vertical="center" wrapText="1"/>
    </xf>
    <xf numFmtId="0" fontId="7" fillId="0" borderId="9" xfId="0" applyFont="1" applyBorder="1" applyAlignment="1">
      <alignment horizontal="left" vertical="center"/>
    </xf>
    <xf numFmtId="0" fontId="5" fillId="0" borderId="0" xfId="0" applyFont="1">
      <alignment vertical="center"/>
    </xf>
    <xf numFmtId="0" fontId="0" fillId="0" borderId="9" xfId="0" applyBorder="1">
      <alignment vertical="center"/>
    </xf>
    <xf numFmtId="0" fontId="5" fillId="0" borderId="1" xfId="0" applyFont="1" applyBorder="1">
      <alignment vertical="center"/>
    </xf>
    <xf numFmtId="0" fontId="5" fillId="8" borderId="1" xfId="0" applyFont="1" applyFill="1" applyBorder="1" applyAlignment="1"/>
    <xf numFmtId="0" fontId="5" fillId="8" borderId="9" xfId="0" applyFont="1" applyFill="1" applyBorder="1" applyAlignment="1"/>
    <xf numFmtId="0" fontId="5" fillId="0" borderId="1" xfId="0" applyFont="1" applyBorder="1" applyAlignment="1"/>
    <xf numFmtId="0" fontId="11" fillId="0" borderId="1" xfId="0" applyFont="1" applyBorder="1" applyAlignment="1"/>
    <xf numFmtId="0" fontId="5" fillId="0" borderId="9" xfId="0" applyFont="1" applyBorder="1" applyAlignment="1"/>
    <xf numFmtId="0" fontId="12" fillId="0" borderId="1" xfId="0" applyFont="1" applyBorder="1">
      <alignment vertical="center"/>
    </xf>
    <xf numFmtId="0" fontId="5" fillId="0" borderId="7" xfId="0" applyFont="1" applyBorder="1" applyAlignment="1"/>
    <xf numFmtId="0" fontId="11" fillId="0" borderId="7" xfId="0" applyFont="1" applyBorder="1" applyAlignment="1"/>
    <xf numFmtId="0" fontId="5" fillId="0" borderId="8" xfId="0" applyFont="1" applyBorder="1" applyAlignment="1"/>
    <xf numFmtId="0" fontId="5" fillId="9" borderId="1" xfId="0" applyFont="1" applyFill="1" applyBorder="1" applyAlignment="1"/>
    <xf numFmtId="0" fontId="11" fillId="9" borderId="1" xfId="0" applyFont="1" applyFill="1" applyBorder="1" applyAlignment="1"/>
    <xf numFmtId="0" fontId="5" fillId="9" borderId="9" xfId="0" applyFont="1" applyFill="1" applyBorder="1" applyAlignment="1"/>
    <xf numFmtId="0" fontId="12" fillId="9" borderId="1" xfId="0" applyFont="1" applyFill="1" applyBorder="1">
      <alignment vertical="center"/>
    </xf>
    <xf numFmtId="0" fontId="10" fillId="9" borderId="1" xfId="0" applyFont="1" applyFill="1" applyBorder="1">
      <alignment vertical="center"/>
    </xf>
    <xf numFmtId="0" fontId="1" fillId="0" borderId="0" xfId="0" applyFont="1">
      <alignment vertical="center"/>
    </xf>
    <xf numFmtId="0" fontId="5" fillId="10" borderId="1" xfId="0" applyFont="1" applyFill="1" applyBorder="1" applyAlignment="1">
      <alignment horizontal="center" vertical="center"/>
    </xf>
    <xf numFmtId="0" fontId="13" fillId="10" borderId="2" xfId="0" applyFont="1" applyFill="1" applyBorder="1" applyAlignment="1">
      <alignment horizontal="center" vertical="center"/>
    </xf>
    <xf numFmtId="0" fontId="5" fillId="10" borderId="2" xfId="0" applyFont="1" applyFill="1" applyBorder="1" applyAlignment="1">
      <alignment horizontal="center" vertical="center"/>
    </xf>
    <xf numFmtId="0" fontId="5" fillId="0" borderId="1" xfId="0" applyFont="1" applyBorder="1" applyAlignment="1">
      <alignment horizontal="center" vertical="center"/>
    </xf>
    <xf numFmtId="0" fontId="1" fillId="11" borderId="1" xfId="0" applyFont="1" applyFill="1" applyBorder="1" applyAlignment="1">
      <alignment horizontal="center" vertical="center"/>
    </xf>
    <xf numFmtId="0" fontId="5" fillId="0" borderId="9" xfId="0" applyFont="1" applyBorder="1" applyAlignment="1">
      <alignment horizontal="center" vertical="center"/>
    </xf>
    <xf numFmtId="0" fontId="5" fillId="0" borderId="1" xfId="0" applyFont="1" applyBorder="1" applyAlignment="1">
      <alignment vertical="center" wrapText="1"/>
    </xf>
    <xf numFmtId="0" fontId="5" fillId="0" borderId="2" xfId="0" applyFont="1" applyBorder="1" applyAlignment="1">
      <alignment vertical="center" wrapText="1"/>
    </xf>
    <xf numFmtId="0" fontId="5" fillId="9" borderId="1" xfId="0" applyFont="1" applyFill="1" applyBorder="1" applyAlignment="1">
      <alignment horizontal="center" vertical="center"/>
    </xf>
    <xf numFmtId="0" fontId="5" fillId="12" borderId="1" xfId="0" applyFont="1" applyFill="1" applyBorder="1" applyAlignment="1">
      <alignment horizontal="center" vertical="center"/>
    </xf>
    <xf numFmtId="0" fontId="5" fillId="12" borderId="9" xfId="0" applyFont="1" applyFill="1" applyBorder="1" applyAlignment="1">
      <alignment horizontal="center" vertical="center"/>
    </xf>
    <xf numFmtId="0" fontId="5" fillId="9" borderId="9" xfId="0" applyFont="1" applyFill="1" applyBorder="1" applyAlignment="1">
      <alignment horizontal="center" vertical="center"/>
    </xf>
    <xf numFmtId="0" fontId="5" fillId="6" borderId="0" xfId="0" applyFont="1" applyFill="1">
      <alignment vertical="center"/>
    </xf>
    <xf numFmtId="0" fontId="5" fillId="6" borderId="1" xfId="0" applyFont="1" applyFill="1" applyBorder="1" applyAlignment="1">
      <alignment horizontal="center" vertical="center"/>
    </xf>
    <xf numFmtId="0" fontId="1" fillId="3" borderId="16" xfId="0" applyFont="1" applyFill="1" applyBorder="1" applyAlignment="1">
      <alignment horizontal="center" vertical="center"/>
    </xf>
    <xf numFmtId="0" fontId="1" fillId="3" borderId="17" xfId="0" applyFont="1" applyFill="1" applyBorder="1" applyAlignment="1">
      <alignment horizontal="center" vertical="center"/>
    </xf>
    <xf numFmtId="0" fontId="1" fillId="3" borderId="18" xfId="0" applyFont="1" applyFill="1" applyBorder="1" applyAlignment="1">
      <alignment horizontal="center" vertical="center" wrapText="1"/>
    </xf>
    <xf numFmtId="0" fontId="1" fillId="3" borderId="19" xfId="0" applyFont="1" applyFill="1" applyBorder="1" applyAlignment="1">
      <alignment horizontal="center" vertical="center"/>
    </xf>
    <xf numFmtId="0" fontId="1" fillId="3" borderId="20" xfId="0" applyFont="1" applyFill="1" applyBorder="1" applyAlignment="1">
      <alignment horizontal="center" vertical="center"/>
    </xf>
    <xf numFmtId="0" fontId="1" fillId="0" borderId="1" xfId="0" applyFont="1" applyBorder="1">
      <alignment vertical="center"/>
    </xf>
    <xf numFmtId="58" fontId="8" fillId="0" borderId="1" xfId="0" applyNumberFormat="1" applyFont="1" applyBorder="1" applyAlignment="1">
      <alignment horizontal="left" vertical="center" wrapText="1"/>
    </xf>
    <xf numFmtId="0" fontId="8" fillId="0" borderId="1" xfId="0" applyFont="1" applyBorder="1" applyAlignment="1">
      <alignment vertical="center" wrapText="1"/>
    </xf>
    <xf numFmtId="0" fontId="5" fillId="6" borderId="1" xfId="0" applyFont="1" applyFill="1" applyBorder="1">
      <alignment vertical="center"/>
    </xf>
    <xf numFmtId="0" fontId="7" fillId="0" borderId="1" xfId="0" applyFont="1" applyBorder="1">
      <alignment vertical="center"/>
    </xf>
    <xf numFmtId="0" fontId="10" fillId="0" borderId="1" xfId="0" applyFont="1" applyBorder="1" applyAlignment="1">
      <alignment vertical="center" wrapText="1"/>
    </xf>
    <xf numFmtId="0" fontId="5" fillId="0" borderId="1" xfId="0" applyFont="1" applyBorder="1" applyAlignment="1">
      <alignment horizontal="right" vertical="center"/>
    </xf>
    <xf numFmtId="177" fontId="8" fillId="0" borderId="1" xfId="0" applyNumberFormat="1" applyFont="1" applyBorder="1" applyAlignment="1">
      <alignment horizontal="left" vertical="center"/>
    </xf>
    <xf numFmtId="0" fontId="5" fillId="4" borderId="1" xfId="0" applyFont="1" applyFill="1" applyBorder="1">
      <alignment vertical="center"/>
    </xf>
    <xf numFmtId="58" fontId="5" fillId="4" borderId="1" xfId="0" applyNumberFormat="1" applyFont="1" applyFill="1" applyBorder="1" applyAlignment="1">
      <alignment horizontal="left" vertical="center" wrapText="1"/>
    </xf>
    <xf numFmtId="0" fontId="5" fillId="4" borderId="1" xfId="0" applyFont="1" applyFill="1" applyBorder="1" applyAlignment="1">
      <alignment horizontal="center" vertical="center"/>
    </xf>
    <xf numFmtId="0" fontId="5" fillId="4" borderId="1" xfId="0" applyFont="1" applyFill="1" applyBorder="1" applyAlignment="1">
      <alignment vertical="center" wrapText="1"/>
    </xf>
    <xf numFmtId="0" fontId="7" fillId="4" borderId="1" xfId="0" applyFont="1" applyFill="1" applyBorder="1">
      <alignment vertical="center"/>
    </xf>
    <xf numFmtId="58" fontId="8" fillId="0" borderId="1" xfId="0" applyNumberFormat="1" applyFont="1" applyBorder="1" applyAlignment="1">
      <alignment horizontal="left" vertical="center"/>
    </xf>
    <xf numFmtId="58" fontId="5" fillId="0" borderId="1" xfId="0" applyNumberFormat="1" applyFont="1" applyBorder="1" applyAlignment="1">
      <alignment horizontal="center" vertical="center"/>
    </xf>
    <xf numFmtId="0" fontId="8" fillId="0" borderId="1" xfId="0" applyFont="1" applyBorder="1">
      <alignment vertical="center"/>
    </xf>
    <xf numFmtId="0" fontId="8" fillId="0" borderId="1" xfId="0" applyFont="1" applyBorder="1" applyAlignment="1">
      <alignment horizontal="center" vertical="center"/>
    </xf>
    <xf numFmtId="0" fontId="5" fillId="0" borderId="1" xfId="0" applyFont="1" applyBorder="1" applyAlignment="1">
      <alignment horizontal="center" vertical="center" wrapText="1"/>
    </xf>
    <xf numFmtId="14" fontId="8" fillId="0" borderId="1" xfId="0" applyNumberFormat="1" applyFont="1" applyBorder="1" applyAlignment="1">
      <alignment horizontal="left" vertical="center" wrapText="1"/>
    </xf>
    <xf numFmtId="0" fontId="10" fillId="0" borderId="1" xfId="0" applyFont="1" applyBorder="1" applyAlignment="1">
      <alignment horizontal="center" vertical="center"/>
    </xf>
    <xf numFmtId="0" fontId="8" fillId="0" borderId="21" xfId="0" applyFont="1" applyBorder="1">
      <alignment vertical="center"/>
    </xf>
    <xf numFmtId="0" fontId="17" fillId="0" borderId="0" xfId="0" applyFont="1" applyAlignment="1">
      <alignment horizontal="center" vertical="center"/>
    </xf>
    <xf numFmtId="0" fontId="14" fillId="3" borderId="7" xfId="0" applyFont="1" applyFill="1" applyBorder="1" applyAlignment="1">
      <alignment horizontal="center" vertical="center" wrapText="1"/>
    </xf>
    <xf numFmtId="0" fontId="1" fillId="3" borderId="7" xfId="0" applyFont="1" applyFill="1" applyBorder="1" applyAlignment="1">
      <alignment horizontal="center" vertical="center" wrapText="1"/>
    </xf>
    <xf numFmtId="0" fontId="1" fillId="3" borderId="5" xfId="0" applyFont="1" applyFill="1" applyBorder="1" applyAlignment="1">
      <alignment horizontal="center" vertical="center" wrapText="1"/>
    </xf>
    <xf numFmtId="0" fontId="18" fillId="0" borderId="23" xfId="0" applyFont="1" applyBorder="1">
      <alignment vertical="center"/>
    </xf>
    <xf numFmtId="0" fontId="19" fillId="0" borderId="23" xfId="0" applyFont="1" applyBorder="1">
      <alignment vertical="center"/>
    </xf>
    <xf numFmtId="0" fontId="20" fillId="0" borderId="23" xfId="0" applyFont="1" applyBorder="1">
      <alignment vertical="center"/>
    </xf>
    <xf numFmtId="0" fontId="21" fillId="0" borderId="1" xfId="0" applyFont="1" applyBorder="1" applyAlignment="1">
      <alignment vertical="center" wrapText="1"/>
    </xf>
    <xf numFmtId="0" fontId="20" fillId="4" borderId="1" xfId="0" applyFont="1" applyFill="1" applyBorder="1" applyAlignment="1">
      <alignment vertical="center" wrapText="1"/>
    </xf>
    <xf numFmtId="0" fontId="20" fillId="4" borderId="23" xfId="0" applyFont="1" applyFill="1" applyBorder="1" applyAlignment="1">
      <alignment vertical="center" wrapText="1"/>
    </xf>
    <xf numFmtId="0" fontId="17" fillId="0" borderId="23" xfId="0" applyFont="1" applyBorder="1" applyAlignment="1">
      <alignment vertical="center" wrapText="1"/>
    </xf>
    <xf numFmtId="0" fontId="22" fillId="0" borderId="1" xfId="0" applyFont="1" applyBorder="1">
      <alignment vertical="center"/>
    </xf>
    <xf numFmtId="0" fontId="13" fillId="0" borderId="0" xfId="0" applyFont="1">
      <alignment vertical="center"/>
    </xf>
    <xf numFmtId="0" fontId="20" fillId="0" borderId="1" xfId="0" applyFont="1" applyBorder="1" applyAlignment="1">
      <alignment vertical="center" wrapText="1"/>
    </xf>
    <xf numFmtId="0" fontId="20" fillId="0" borderId="23" xfId="0" applyFont="1" applyBorder="1" applyAlignment="1">
      <alignment vertical="center" wrapText="1"/>
    </xf>
    <xf numFmtId="0" fontId="21" fillId="0" borderId="23" xfId="0" applyFont="1" applyBorder="1" applyAlignment="1">
      <alignment vertical="center" wrapText="1"/>
    </xf>
    <xf numFmtId="0" fontId="17" fillId="0" borderId="23" xfId="0" applyFont="1" applyBorder="1">
      <alignment vertical="center"/>
    </xf>
    <xf numFmtId="0" fontId="19" fillId="0" borderId="23" xfId="0" applyFont="1" applyBorder="1" applyAlignment="1">
      <alignment vertical="center" wrapText="1"/>
    </xf>
    <xf numFmtId="0" fontId="22" fillId="4" borderId="1" xfId="0" applyFont="1" applyFill="1" applyBorder="1">
      <alignment vertical="center"/>
    </xf>
    <xf numFmtId="0" fontId="5" fillId="0" borderId="23" xfId="0" applyFont="1" applyBorder="1" applyAlignment="1">
      <alignment vertical="center" wrapText="1"/>
    </xf>
    <xf numFmtId="0" fontId="21" fillId="0" borderId="23" xfId="0" applyFont="1" applyBorder="1">
      <alignment vertical="center"/>
    </xf>
    <xf numFmtId="0" fontId="5" fillId="0" borderId="23" xfId="0" applyFont="1" applyBorder="1">
      <alignment vertical="center"/>
    </xf>
    <xf numFmtId="0" fontId="21" fillId="4" borderId="1" xfId="0" applyFont="1" applyFill="1" applyBorder="1">
      <alignment vertical="center"/>
    </xf>
    <xf numFmtId="0" fontId="21" fillId="0" borderId="1" xfId="0" applyFont="1" applyBorder="1">
      <alignment vertical="center"/>
    </xf>
    <xf numFmtId="0" fontId="6" fillId="0" borderId="1" xfId="0" applyFont="1" applyBorder="1" applyAlignment="1">
      <alignment vertical="center" wrapText="1"/>
    </xf>
    <xf numFmtId="0" fontId="6" fillId="0" borderId="1" xfId="0" applyFont="1" applyBorder="1">
      <alignment vertical="center"/>
    </xf>
    <xf numFmtId="0" fontId="23" fillId="0" borderId="0" xfId="0" applyFont="1">
      <alignment vertical="center"/>
    </xf>
    <xf numFmtId="0" fontId="5" fillId="0" borderId="24" xfId="0" applyFont="1" applyBorder="1">
      <alignment vertical="center"/>
    </xf>
    <xf numFmtId="0" fontId="5" fillId="0" borderId="24" xfId="0" applyFont="1" applyBorder="1" applyAlignment="1">
      <alignment vertical="center" wrapText="1"/>
    </xf>
    <xf numFmtId="0" fontId="5" fillId="0" borderId="25" xfId="0" applyFont="1" applyBorder="1" applyAlignment="1">
      <alignment vertical="center" wrapText="1"/>
    </xf>
    <xf numFmtId="0" fontId="5" fillId="0" borderId="26" xfId="0" applyFont="1" applyBorder="1" applyAlignment="1">
      <alignment vertical="center" wrapText="1"/>
    </xf>
    <xf numFmtId="0" fontId="21" fillId="0" borderId="26" xfId="0" applyFont="1" applyBorder="1" applyAlignment="1">
      <alignment vertical="center" wrapText="1"/>
    </xf>
    <xf numFmtId="0" fontId="6" fillId="0" borderId="5" xfId="0" applyFont="1" applyBorder="1">
      <alignment vertical="center"/>
    </xf>
    <xf numFmtId="0" fontId="7" fillId="0" borderId="24" xfId="0" applyFont="1" applyBorder="1">
      <alignment vertical="center"/>
    </xf>
    <xf numFmtId="0" fontId="5" fillId="0" borderId="27" xfId="0" applyFont="1" applyBorder="1">
      <alignment vertical="center"/>
    </xf>
    <xf numFmtId="0" fontId="5" fillId="0" borderId="27" xfId="0" applyFont="1" applyBorder="1" applyAlignment="1">
      <alignment vertical="center" wrapText="1"/>
    </xf>
    <xf numFmtId="0" fontId="21" fillId="0" borderId="27" xfId="0" applyFont="1" applyBorder="1" applyAlignment="1">
      <alignment vertical="center" wrapText="1"/>
    </xf>
    <xf numFmtId="0" fontId="6" fillId="0" borderId="7" xfId="0" applyFont="1" applyBorder="1">
      <alignment vertical="center"/>
    </xf>
    <xf numFmtId="0" fontId="24" fillId="0" borderId="0" xfId="0" applyFont="1">
      <alignment vertical="center"/>
    </xf>
    <xf numFmtId="0" fontId="5" fillId="0" borderId="28" xfId="0" applyFont="1" applyBorder="1" applyAlignment="1">
      <alignment vertical="center" wrapText="1"/>
    </xf>
    <xf numFmtId="0" fontId="21" fillId="0" borderId="28" xfId="0" applyFont="1" applyBorder="1" applyAlignment="1">
      <alignment vertical="center" wrapText="1"/>
    </xf>
    <xf numFmtId="0" fontId="5" fillId="0" borderId="29" xfId="0" applyFont="1" applyBorder="1" applyAlignment="1">
      <alignment vertical="center" wrapText="1"/>
    </xf>
    <xf numFmtId="0" fontId="21" fillId="0" borderId="29" xfId="0" applyFont="1" applyBorder="1" applyAlignment="1">
      <alignment vertical="center" wrapText="1"/>
    </xf>
    <xf numFmtId="0" fontId="6" fillId="0" borderId="30" xfId="0" applyFont="1" applyBorder="1">
      <alignment vertical="center"/>
    </xf>
    <xf numFmtId="0" fontId="7" fillId="0" borderId="31" xfId="0" applyFont="1" applyBorder="1">
      <alignment vertical="center"/>
    </xf>
    <xf numFmtId="0" fontId="5" fillId="0" borderId="32" xfId="0" applyFont="1" applyBorder="1">
      <alignment vertical="center"/>
    </xf>
    <xf numFmtId="0" fontId="21" fillId="0" borderId="9" xfId="0" applyFont="1" applyBorder="1">
      <alignment vertical="center"/>
    </xf>
    <xf numFmtId="0" fontId="7" fillId="0" borderId="33" xfId="0" applyFont="1" applyBorder="1">
      <alignment vertical="center"/>
    </xf>
    <xf numFmtId="0" fontId="5" fillId="0" borderId="2" xfId="0" applyFont="1" applyBorder="1">
      <alignment vertical="center"/>
    </xf>
    <xf numFmtId="0" fontId="6" fillId="0" borderId="9" xfId="0" applyFont="1" applyBorder="1">
      <alignment vertical="center"/>
    </xf>
    <xf numFmtId="0" fontId="25" fillId="0" borderId="0" xfId="0" applyFont="1" applyAlignment="1">
      <alignment vertical="center" wrapText="1"/>
    </xf>
    <xf numFmtId="0" fontId="25" fillId="4" borderId="1" xfId="0" applyFont="1" applyFill="1" applyBorder="1">
      <alignment vertical="center"/>
    </xf>
    <xf numFmtId="0" fontId="23" fillId="0" borderId="27" xfId="0" applyFont="1" applyBorder="1">
      <alignment vertical="center"/>
    </xf>
    <xf numFmtId="0" fontId="25" fillId="0" borderId="9" xfId="0" applyFont="1" applyBorder="1">
      <alignment vertical="center"/>
    </xf>
    <xf numFmtId="0" fontId="23" fillId="0" borderId="1" xfId="0" applyFont="1" applyBorder="1" applyAlignment="1">
      <alignment vertical="center" wrapText="1"/>
    </xf>
    <xf numFmtId="0" fontId="25" fillId="0" borderId="1" xfId="0" applyFont="1" applyBorder="1" applyAlignment="1">
      <alignment vertical="center" wrapText="1"/>
    </xf>
    <xf numFmtId="0" fontId="25" fillId="0" borderId="1" xfId="0" applyFont="1" applyBorder="1">
      <alignment vertical="center"/>
    </xf>
    <xf numFmtId="0" fontId="26" fillId="0" borderId="1" xfId="0" applyFont="1" applyBorder="1" applyAlignment="1">
      <alignment vertical="center" wrapText="1"/>
    </xf>
    <xf numFmtId="0" fontId="26" fillId="0" borderId="1" xfId="0" applyFont="1" applyBorder="1">
      <alignment vertical="center"/>
    </xf>
    <xf numFmtId="0" fontId="27" fillId="4" borderId="7" xfId="0" applyFont="1" applyFill="1" applyBorder="1">
      <alignment vertical="center"/>
    </xf>
    <xf numFmtId="0" fontId="27" fillId="0" borderId="5" xfId="0" applyFont="1" applyBorder="1">
      <alignment vertical="center"/>
    </xf>
    <xf numFmtId="0" fontId="10" fillId="6" borderId="7" xfId="0" applyFont="1" applyFill="1" applyBorder="1" applyAlignment="1">
      <alignment vertical="center" wrapText="1"/>
    </xf>
    <xf numFmtId="0" fontId="27" fillId="4" borderId="10" xfId="0" applyFont="1" applyFill="1" applyBorder="1">
      <alignment vertical="center"/>
    </xf>
    <xf numFmtId="0" fontId="23" fillId="0" borderId="24" xfId="0" applyFont="1" applyBorder="1">
      <alignment vertical="center"/>
    </xf>
    <xf numFmtId="0" fontId="27" fillId="0" borderId="10" xfId="0" applyFont="1" applyBorder="1">
      <alignment vertical="center"/>
    </xf>
    <xf numFmtId="0" fontId="27" fillId="0" borderId="1" xfId="0" applyFont="1" applyBorder="1">
      <alignment vertical="center"/>
    </xf>
    <xf numFmtId="0" fontId="1" fillId="2" borderId="0" xfId="0" applyFont="1" applyFill="1" applyAlignment="1">
      <alignment horizontal="center" vertical="center" wrapText="1"/>
    </xf>
    <xf numFmtId="0" fontId="1" fillId="13" borderId="0" xfId="0" applyFont="1" applyFill="1" applyAlignment="1">
      <alignment horizontal="center" vertical="center" wrapText="1"/>
    </xf>
    <xf numFmtId="0" fontId="1" fillId="9" borderId="0" xfId="0" applyFont="1" applyFill="1" applyAlignment="1">
      <alignment horizontal="center" vertical="center" wrapText="1"/>
    </xf>
    <xf numFmtId="0" fontId="5" fillId="0" borderId="0" xfId="0" applyFont="1" applyAlignment="1">
      <alignment vertical="center" wrapText="1"/>
    </xf>
    <xf numFmtId="0" fontId="1" fillId="2" borderId="18" xfId="0" applyFont="1" applyFill="1" applyBorder="1" applyAlignment="1">
      <alignment horizontal="center" vertical="center" wrapText="1"/>
    </xf>
    <xf numFmtId="0" fontId="1" fillId="2" borderId="38" xfId="0" applyFont="1" applyFill="1" applyBorder="1" applyAlignment="1">
      <alignment horizontal="center" vertical="center" wrapText="1"/>
    </xf>
    <xf numFmtId="0" fontId="1" fillId="2" borderId="45" xfId="0" applyFont="1" applyFill="1" applyBorder="1" applyAlignment="1">
      <alignment horizontal="center" vertical="center" wrapText="1"/>
    </xf>
    <xf numFmtId="0" fontId="3" fillId="13" borderId="1" xfId="0" applyFont="1" applyFill="1" applyBorder="1" applyAlignment="1">
      <alignment horizontal="center" vertical="center" wrapText="1"/>
    </xf>
    <xf numFmtId="0" fontId="1" fillId="9" borderId="1" xfId="0" applyFont="1" applyFill="1" applyBorder="1" applyAlignment="1">
      <alignment horizontal="center" vertical="center" wrapText="1"/>
    </xf>
    <xf numFmtId="0" fontId="0" fillId="0" borderId="1" xfId="0" applyBorder="1">
      <alignment vertical="center"/>
    </xf>
    <xf numFmtId="0" fontId="5" fillId="0" borderId="7" xfId="0" applyFont="1" applyBorder="1">
      <alignment vertical="center"/>
    </xf>
    <xf numFmtId="0" fontId="28" fillId="0" borderId="1" xfId="0" applyFont="1" applyBorder="1">
      <alignment vertical="center"/>
    </xf>
    <xf numFmtId="0" fontId="20" fillId="0" borderId="1" xfId="0" applyFont="1" applyBorder="1">
      <alignment vertical="center"/>
    </xf>
    <xf numFmtId="0" fontId="28" fillId="0" borderId="1" xfId="0" applyFont="1" applyBorder="1" applyAlignment="1">
      <alignment vertical="center" wrapText="1"/>
    </xf>
    <xf numFmtId="0" fontId="19" fillId="0" borderId="1" xfId="0" applyFont="1" applyBorder="1" applyAlignment="1">
      <alignment vertical="center" wrapText="1"/>
    </xf>
    <xf numFmtId="0" fontId="19" fillId="0" borderId="1" xfId="0" applyFont="1" applyBorder="1">
      <alignment vertical="center"/>
    </xf>
    <xf numFmtId="0" fontId="7" fillId="0" borderId="12" xfId="0" applyFont="1" applyBorder="1">
      <alignment vertical="center"/>
    </xf>
    <xf numFmtId="0" fontId="7" fillId="13" borderId="12" xfId="0" applyFont="1" applyFill="1" applyBorder="1">
      <alignment vertical="center"/>
    </xf>
    <xf numFmtId="0" fontId="5" fillId="9" borderId="12" xfId="0" applyFont="1" applyFill="1" applyBorder="1" applyAlignment="1">
      <alignment vertical="center" wrapText="1"/>
    </xf>
    <xf numFmtId="0" fontId="28" fillId="0" borderId="9" xfId="0" applyFont="1" applyBorder="1" applyAlignment="1">
      <alignment vertical="center" wrapText="1"/>
    </xf>
    <xf numFmtId="0" fontId="13" fillId="0" borderId="0" xfId="0" applyFont="1" applyAlignment="1">
      <alignment vertical="center" wrapText="1"/>
    </xf>
    <xf numFmtId="0" fontId="29" fillId="4" borderId="7" xfId="0" applyFont="1" applyFill="1" applyBorder="1">
      <alignment vertical="center"/>
    </xf>
    <xf numFmtId="0" fontId="20" fillId="0" borderId="27" xfId="0" applyFont="1" applyBorder="1">
      <alignment vertical="center"/>
    </xf>
    <xf numFmtId="0" fontId="19" fillId="0" borderId="27" xfId="0" applyFont="1" applyBorder="1">
      <alignment vertical="center"/>
    </xf>
    <xf numFmtId="0" fontId="19" fillId="0" borderId="9" xfId="0" applyFont="1" applyBorder="1" applyAlignment="1">
      <alignment vertical="center" wrapText="1"/>
    </xf>
    <xf numFmtId="0" fontId="20" fillId="0" borderId="27" xfId="0" applyFont="1" applyBorder="1" applyAlignment="1">
      <alignment vertical="center" wrapText="1"/>
    </xf>
    <xf numFmtId="0" fontId="8" fillId="0" borderId="27" xfId="0" applyFont="1" applyBorder="1">
      <alignment vertical="center"/>
    </xf>
    <xf numFmtId="0" fontId="30" fillId="4" borderId="7" xfId="0" applyFont="1" applyFill="1" applyBorder="1">
      <alignment vertical="center"/>
    </xf>
    <xf numFmtId="0" fontId="31" fillId="0" borderId="1" xfId="0" applyFont="1" applyBorder="1">
      <alignment vertical="center"/>
    </xf>
    <xf numFmtId="0" fontId="32" fillId="0" borderId="1" xfId="0" applyFont="1" applyBorder="1" applyAlignment="1">
      <alignment vertical="center" wrapText="1"/>
    </xf>
    <xf numFmtId="0" fontId="33" fillId="4" borderId="1" xfId="0" applyFont="1" applyFill="1" applyBorder="1">
      <alignment vertical="center"/>
    </xf>
    <xf numFmtId="0" fontId="5" fillId="4" borderId="5" xfId="0" applyFont="1" applyFill="1" applyBorder="1">
      <alignment vertical="center"/>
    </xf>
    <xf numFmtId="0" fontId="8" fillId="0" borderId="24" xfId="0" applyFont="1" applyBorder="1">
      <alignment vertical="center"/>
    </xf>
    <xf numFmtId="0" fontId="31" fillId="0" borderId="1" xfId="0" applyFont="1" applyBorder="1" applyAlignment="1">
      <alignment vertical="center" wrapText="1"/>
    </xf>
    <xf numFmtId="0" fontId="21" fillId="0" borderId="9" xfId="0" applyFont="1" applyBorder="1" applyAlignment="1">
      <alignment vertical="center" wrapText="1"/>
    </xf>
    <xf numFmtId="0" fontId="7" fillId="0" borderId="47" xfId="0" applyFont="1" applyBorder="1">
      <alignment vertical="center"/>
    </xf>
    <xf numFmtId="0" fontId="7" fillId="13" borderId="47" xfId="0" applyFont="1" applyFill="1" applyBorder="1">
      <alignment vertical="center"/>
    </xf>
    <xf numFmtId="0" fontId="5" fillId="9" borderId="47" xfId="0" applyFont="1" applyFill="1" applyBorder="1" applyAlignment="1">
      <alignment vertical="center" wrapText="1"/>
    </xf>
    <xf numFmtId="0" fontId="5" fillId="0" borderId="3" xfId="0" applyFont="1" applyBorder="1" applyAlignment="1">
      <alignment vertical="center" wrapText="1"/>
    </xf>
    <xf numFmtId="0" fontId="7" fillId="0" borderId="9" xfId="0" applyFont="1" applyBorder="1">
      <alignment vertical="center"/>
    </xf>
    <xf numFmtId="0" fontId="3" fillId="9" borderId="12" xfId="0" applyFont="1" applyFill="1" applyBorder="1" applyAlignment="1">
      <alignment vertical="center" wrapText="1"/>
    </xf>
    <xf numFmtId="0" fontId="24" fillId="0" borderId="1" xfId="0" applyFont="1" applyBorder="1">
      <alignment vertical="center"/>
    </xf>
    <xf numFmtId="0" fontId="5" fillId="14" borderId="1" xfId="0" applyFont="1" applyFill="1" applyBorder="1">
      <alignment vertical="center"/>
    </xf>
    <xf numFmtId="0" fontId="21" fillId="14" borderId="1" xfId="0" applyFont="1" applyFill="1" applyBorder="1">
      <alignment vertical="center"/>
    </xf>
    <xf numFmtId="0" fontId="21" fillId="14" borderId="1" xfId="0" applyFont="1" applyFill="1" applyBorder="1" applyAlignment="1">
      <alignment vertical="center" wrapText="1"/>
    </xf>
    <xf numFmtId="0" fontId="7" fillId="14" borderId="1" xfId="0" applyFont="1" applyFill="1" applyBorder="1">
      <alignment vertical="center"/>
    </xf>
    <xf numFmtId="0" fontId="7" fillId="14" borderId="48" xfId="0" applyFont="1" applyFill="1" applyBorder="1">
      <alignment vertical="center"/>
    </xf>
    <xf numFmtId="0" fontId="7" fillId="13" borderId="48" xfId="0" applyFont="1" applyFill="1" applyBorder="1">
      <alignment vertical="center"/>
    </xf>
    <xf numFmtId="0" fontId="5" fillId="9" borderId="48" xfId="0" applyFont="1" applyFill="1" applyBorder="1" applyAlignment="1">
      <alignment vertical="center" wrapText="1"/>
    </xf>
    <xf numFmtId="0" fontId="5" fillId="14" borderId="8" xfId="0" applyFont="1" applyFill="1" applyBorder="1" applyAlignment="1">
      <alignment vertical="center" wrapText="1"/>
    </xf>
    <xf numFmtId="0" fontId="5" fillId="14" borderId="7" xfId="0" applyFont="1" applyFill="1" applyBorder="1" applyAlignment="1">
      <alignment vertical="center" wrapText="1"/>
    </xf>
    <xf numFmtId="0" fontId="8" fillId="14" borderId="0" xfId="0" applyFont="1" applyFill="1">
      <alignment vertical="center"/>
    </xf>
    <xf numFmtId="0" fontId="5" fillId="9" borderId="12" xfId="0" applyFont="1" applyFill="1" applyBorder="1">
      <alignment vertical="center"/>
    </xf>
    <xf numFmtId="0" fontId="5" fillId="0" borderId="9" xfId="0" applyFont="1" applyBorder="1">
      <alignment vertical="center"/>
    </xf>
    <xf numFmtId="0" fontId="8" fillId="0" borderId="0" xfId="0" applyFont="1">
      <alignment vertical="center"/>
    </xf>
    <xf numFmtId="0" fontId="20" fillId="0" borderId="7" xfId="0" applyFont="1" applyBorder="1">
      <alignment vertical="center"/>
    </xf>
    <xf numFmtId="0" fontId="28" fillId="0" borderId="7" xfId="0" applyFont="1" applyBorder="1">
      <alignment vertical="center"/>
    </xf>
    <xf numFmtId="0" fontId="31" fillId="0" borderId="7" xfId="0" applyFont="1" applyBorder="1">
      <alignment vertical="center"/>
    </xf>
    <xf numFmtId="0" fontId="34" fillId="0" borderId="1" xfId="0" applyFont="1" applyBorder="1">
      <alignment vertical="center"/>
    </xf>
    <xf numFmtId="0" fontId="7" fillId="13" borderId="49" xfId="0" applyFont="1" applyFill="1" applyBorder="1">
      <alignment vertical="center"/>
    </xf>
    <xf numFmtId="0" fontId="28" fillId="4" borderId="7" xfId="0" applyFont="1" applyFill="1" applyBorder="1">
      <alignment vertical="center"/>
    </xf>
    <xf numFmtId="0" fontId="5" fillId="0" borderId="9" xfId="0" applyFont="1" applyBorder="1" applyAlignment="1">
      <alignment vertical="center" wrapText="1"/>
    </xf>
    <xf numFmtId="0" fontId="34" fillId="0" borderId="1" xfId="0" applyFont="1" applyBorder="1" applyAlignment="1">
      <alignment vertical="center" wrapText="1"/>
    </xf>
    <xf numFmtId="0" fontId="10" fillId="9" borderId="12" xfId="0" applyFont="1" applyFill="1" applyBorder="1" applyAlignment="1">
      <alignment vertical="center" wrapText="1"/>
    </xf>
    <xf numFmtId="0" fontId="10" fillId="0" borderId="9" xfId="0" applyFont="1" applyBorder="1" applyAlignment="1">
      <alignment vertical="center" wrapText="1"/>
    </xf>
    <xf numFmtId="0" fontId="31" fillId="4" borderId="7" xfId="0" applyFont="1" applyFill="1" applyBorder="1">
      <alignment vertical="center"/>
    </xf>
    <xf numFmtId="0" fontId="33" fillId="0" borderId="1" xfId="0" applyFont="1" applyBorder="1">
      <alignment vertical="center"/>
    </xf>
    <xf numFmtId="0" fontId="20" fillId="4" borderId="7" xfId="0" applyFont="1" applyFill="1" applyBorder="1">
      <alignment vertical="center"/>
    </xf>
    <xf numFmtId="0" fontId="0" fillId="0" borderId="1" xfId="0" applyBorder="1" applyAlignment="1">
      <alignment vertical="center" wrapText="1"/>
    </xf>
    <xf numFmtId="0" fontId="21" fillId="0" borderId="5" xfId="0" applyFont="1" applyBorder="1">
      <alignment vertical="center"/>
    </xf>
    <xf numFmtId="0" fontId="5" fillId="13" borderId="1" xfId="0" applyFont="1" applyFill="1" applyBorder="1">
      <alignment vertical="center"/>
    </xf>
    <xf numFmtId="0" fontId="5" fillId="9" borderId="1" xfId="0" applyFont="1" applyFill="1" applyBorder="1">
      <alignment vertical="center"/>
    </xf>
    <xf numFmtId="0" fontId="0" fillId="0" borderId="0" xfId="0" applyAlignment="1">
      <alignment vertical="center" wrapText="1"/>
    </xf>
    <xf numFmtId="0" fontId="20" fillId="6" borderId="1" xfId="0" applyFont="1" applyFill="1" applyBorder="1" applyAlignment="1">
      <alignment vertical="center" wrapText="1"/>
    </xf>
    <xf numFmtId="0" fontId="21" fillId="4" borderId="5" xfId="0" applyFont="1" applyFill="1" applyBorder="1">
      <alignment vertical="center"/>
    </xf>
    <xf numFmtId="0" fontId="34" fillId="4" borderId="1" xfId="0" applyFont="1" applyFill="1" applyBorder="1">
      <alignment vertical="center"/>
    </xf>
    <xf numFmtId="0" fontId="7" fillId="4" borderId="12" xfId="0" applyFont="1" applyFill="1" applyBorder="1">
      <alignment vertical="center"/>
    </xf>
    <xf numFmtId="0" fontId="23" fillId="9" borderId="12" xfId="0" applyFont="1" applyFill="1" applyBorder="1">
      <alignment vertical="center"/>
    </xf>
    <xf numFmtId="0" fontId="23" fillId="5" borderId="9" xfId="0" applyFont="1" applyFill="1" applyBorder="1">
      <alignment vertical="center"/>
    </xf>
    <xf numFmtId="0" fontId="23" fillId="0" borderId="1" xfId="0" applyFont="1" applyBorder="1">
      <alignment vertical="center"/>
    </xf>
    <xf numFmtId="0" fontId="5" fillId="12" borderId="0" xfId="0" applyFont="1" applyFill="1">
      <alignment vertical="center"/>
    </xf>
    <xf numFmtId="0" fontId="5" fillId="13" borderId="1" xfId="0" applyFont="1" applyFill="1" applyBorder="1" applyAlignment="1">
      <alignment vertical="center" wrapText="1"/>
    </xf>
    <xf numFmtId="0" fontId="5" fillId="9" borderId="1" xfId="0" applyFont="1" applyFill="1" applyBorder="1" applyAlignment="1">
      <alignment vertical="center" wrapText="1"/>
    </xf>
    <xf numFmtId="0" fontId="5" fillId="0" borderId="50" xfId="0" applyFont="1" applyBorder="1">
      <alignment vertical="center"/>
    </xf>
    <xf numFmtId="0" fontId="5" fillId="0" borderId="40" xfId="0" applyFont="1" applyBorder="1">
      <alignment vertical="center"/>
    </xf>
    <xf numFmtId="0" fontId="28" fillId="4" borderId="7" xfId="0" applyFont="1" applyFill="1" applyBorder="1" applyAlignment="1"/>
    <xf numFmtId="0" fontId="31" fillId="4" borderId="7" xfId="0" applyFont="1" applyFill="1" applyBorder="1" applyAlignment="1"/>
    <xf numFmtId="0" fontId="20" fillId="4" borderId="7" xfId="0" applyFont="1" applyFill="1" applyBorder="1" applyAlignment="1"/>
    <xf numFmtId="0" fontId="19" fillId="0" borderId="9" xfId="0" applyFont="1" applyBorder="1">
      <alignment vertical="center"/>
    </xf>
    <xf numFmtId="0" fontId="28" fillId="0" borderId="27" xfId="0" applyFont="1" applyBorder="1">
      <alignment vertical="center"/>
    </xf>
    <xf numFmtId="0" fontId="19" fillId="0" borderId="7" xfId="0" applyFont="1" applyBorder="1">
      <alignment vertical="center"/>
    </xf>
    <xf numFmtId="0" fontId="7" fillId="0" borderId="51" xfId="0" applyFont="1" applyBorder="1">
      <alignment vertical="center"/>
    </xf>
    <xf numFmtId="0" fontId="7" fillId="13" borderId="51" xfId="0" applyFont="1" applyFill="1" applyBorder="1">
      <alignment vertical="center"/>
    </xf>
    <xf numFmtId="0" fontId="5" fillId="9" borderId="51" xfId="0" applyFont="1" applyFill="1" applyBorder="1">
      <alignment vertical="center"/>
    </xf>
    <xf numFmtId="0" fontId="19" fillId="0" borderId="52" xfId="0" applyFont="1" applyBorder="1">
      <alignment vertical="center"/>
    </xf>
    <xf numFmtId="0" fontId="5" fillId="0" borderId="53" xfId="0" applyFont="1" applyBorder="1" applyAlignment="1">
      <alignment vertical="center" wrapText="1"/>
    </xf>
    <xf numFmtId="0" fontId="28" fillId="0" borderId="53" xfId="0" applyFont="1" applyBorder="1" applyAlignment="1">
      <alignment vertical="center" wrapText="1"/>
    </xf>
    <xf numFmtId="0" fontId="35" fillId="0" borderId="10" xfId="0" applyFont="1" applyBorder="1">
      <alignment vertical="center"/>
    </xf>
    <xf numFmtId="0" fontId="28" fillId="0" borderId="30" xfId="0" applyFont="1" applyBorder="1">
      <alignment vertical="center"/>
    </xf>
    <xf numFmtId="0" fontId="20" fillId="0" borderId="32" xfId="0" applyFont="1" applyBorder="1" applyAlignment="1">
      <alignment vertical="center" wrapText="1"/>
    </xf>
    <xf numFmtId="0" fontId="19" fillId="0" borderId="54" xfId="0" applyFont="1" applyBorder="1">
      <alignment vertical="center"/>
    </xf>
    <xf numFmtId="0" fontId="17" fillId="0" borderId="55" xfId="0" applyFont="1" applyBorder="1">
      <alignment vertical="center"/>
    </xf>
    <xf numFmtId="0" fontId="19" fillId="0" borderId="55" xfId="0" applyFont="1" applyBorder="1">
      <alignment vertical="center"/>
    </xf>
    <xf numFmtId="0" fontId="21" fillId="9" borderId="5" xfId="0" applyFont="1" applyFill="1" applyBorder="1">
      <alignment vertical="center"/>
    </xf>
    <xf numFmtId="0" fontId="5" fillId="6" borderId="1" xfId="0" applyFont="1" applyFill="1" applyBorder="1" applyAlignment="1">
      <alignment vertical="center" wrapText="1"/>
    </xf>
    <xf numFmtId="0" fontId="5" fillId="6" borderId="53" xfId="0" applyFont="1" applyFill="1" applyBorder="1" applyAlignment="1">
      <alignment vertical="center" wrapText="1"/>
    </xf>
    <xf numFmtId="0" fontId="21" fillId="6" borderId="14" xfId="0" applyFont="1" applyFill="1" applyBorder="1" applyAlignment="1">
      <alignment vertical="center" wrapText="1"/>
    </xf>
    <xf numFmtId="0" fontId="21" fillId="6" borderId="24" xfId="0" applyFont="1" applyFill="1" applyBorder="1" applyAlignment="1">
      <alignment vertical="center" wrapText="1"/>
    </xf>
    <xf numFmtId="0" fontId="5" fillId="6" borderId="5" xfId="0" applyFont="1" applyFill="1" applyBorder="1">
      <alignment vertical="center"/>
    </xf>
    <xf numFmtId="0" fontId="7" fillId="5" borderId="1" xfId="0" applyFont="1" applyFill="1" applyBorder="1">
      <alignment vertical="center"/>
    </xf>
    <xf numFmtId="0" fontId="7" fillId="6" borderId="1" xfId="0" applyFont="1" applyFill="1" applyBorder="1">
      <alignment vertical="center"/>
    </xf>
    <xf numFmtId="0" fontId="7" fillId="6" borderId="12" xfId="0" applyFont="1" applyFill="1" applyBorder="1">
      <alignment vertical="center"/>
    </xf>
    <xf numFmtId="0" fontId="5" fillId="6" borderId="9" xfId="0" applyFont="1" applyFill="1" applyBorder="1">
      <alignment vertical="center"/>
    </xf>
    <xf numFmtId="0" fontId="5" fillId="6" borderId="56" xfId="0" applyFont="1" applyFill="1" applyBorder="1">
      <alignment vertical="center"/>
    </xf>
    <xf numFmtId="0" fontId="21" fillId="5" borderId="5" xfId="0" applyFont="1" applyFill="1" applyBorder="1">
      <alignment vertical="center"/>
    </xf>
    <xf numFmtId="0" fontId="28" fillId="9" borderId="7" xfId="0" applyFont="1" applyFill="1" applyBorder="1">
      <alignment vertical="center"/>
    </xf>
    <xf numFmtId="0" fontId="28" fillId="0" borderId="8" xfId="0" applyFont="1" applyBorder="1" applyAlignment="1">
      <alignment vertical="center" wrapText="1"/>
    </xf>
    <xf numFmtId="0" fontId="20" fillId="0" borderId="53" xfId="0" applyFont="1" applyBorder="1" applyAlignment="1">
      <alignment vertical="center" wrapText="1"/>
    </xf>
    <xf numFmtId="0" fontId="28" fillId="0" borderId="27" xfId="0" applyFont="1" applyBorder="1" applyAlignment="1">
      <alignment vertical="center" wrapText="1"/>
    </xf>
    <xf numFmtId="0" fontId="31" fillId="9" borderId="7" xfId="0" applyFont="1" applyFill="1" applyBorder="1">
      <alignment vertical="center"/>
    </xf>
    <xf numFmtId="0" fontId="31" fillId="0" borderId="8" xfId="0" applyFont="1" applyBorder="1" applyAlignment="1">
      <alignment vertical="center" wrapText="1"/>
    </xf>
    <xf numFmtId="0" fontId="32" fillId="0" borderId="7" xfId="0" applyFont="1" applyBorder="1">
      <alignment vertical="center"/>
    </xf>
    <xf numFmtId="0" fontId="31" fillId="0" borderId="27" xfId="0" applyFont="1" applyBorder="1" applyAlignment="1">
      <alignment vertical="center" wrapText="1"/>
    </xf>
    <xf numFmtId="0" fontId="36" fillId="0" borderId="1" xfId="0" applyFont="1" applyBorder="1">
      <alignment vertical="center"/>
    </xf>
    <xf numFmtId="0" fontId="5" fillId="0" borderId="10" xfId="0" applyFont="1" applyBorder="1">
      <alignment vertical="center"/>
    </xf>
    <xf numFmtId="0" fontId="23" fillId="0" borderId="9" xfId="0" applyFont="1" applyBorder="1">
      <alignment vertical="center"/>
    </xf>
    <xf numFmtId="0" fontId="23" fillId="0" borderId="56" xfId="0" applyFont="1" applyBorder="1">
      <alignment vertical="center"/>
    </xf>
    <xf numFmtId="0" fontId="21" fillId="0" borderId="8" xfId="0" applyFont="1" applyBorder="1" applyAlignment="1">
      <alignment vertical="center" wrapText="1"/>
    </xf>
    <xf numFmtId="0" fontId="20" fillId="0" borderId="7" xfId="0" applyFont="1" applyBorder="1" applyAlignment="1">
      <alignment vertical="center" wrapText="1"/>
    </xf>
    <xf numFmtId="0" fontId="35" fillId="0" borderId="1" xfId="0" applyFont="1" applyBorder="1">
      <alignment vertical="center"/>
    </xf>
    <xf numFmtId="0" fontId="20" fillId="9" borderId="7" xfId="0" applyFont="1" applyFill="1" applyBorder="1">
      <alignment vertical="center"/>
    </xf>
    <xf numFmtId="0" fontId="28" fillId="6" borderId="8" xfId="0" applyFont="1" applyFill="1" applyBorder="1" applyAlignment="1">
      <alignment vertical="center" wrapText="1"/>
    </xf>
    <xf numFmtId="0" fontId="19" fillId="0" borderId="27" xfId="0" applyFont="1" applyBorder="1" applyAlignment="1">
      <alignment vertical="center" wrapText="1"/>
    </xf>
    <xf numFmtId="0" fontId="28" fillId="0" borderId="7" xfId="0" applyFont="1" applyBorder="1" applyAlignment="1">
      <alignment vertical="center" wrapText="1"/>
    </xf>
    <xf numFmtId="0" fontId="20" fillId="6" borderId="53" xfId="0" applyFont="1" applyFill="1" applyBorder="1" applyAlignment="1">
      <alignment vertical="center" wrapText="1"/>
    </xf>
    <xf numFmtId="0" fontId="8" fillId="0" borderId="53" xfId="0" applyFont="1" applyBorder="1">
      <alignment vertical="center"/>
    </xf>
    <xf numFmtId="0" fontId="28" fillId="0" borderId="57" xfId="0" applyFont="1" applyBorder="1" applyAlignment="1">
      <alignment vertical="center" wrapText="1"/>
    </xf>
    <xf numFmtId="0" fontId="19" fillId="0" borderId="53" xfId="0" applyFont="1" applyBorder="1" applyAlignment="1">
      <alignment vertical="center" wrapText="1"/>
    </xf>
    <xf numFmtId="0" fontId="31" fillId="0" borderId="52" xfId="0" applyFont="1" applyBorder="1" applyAlignment="1">
      <alignment vertical="center" wrapText="1"/>
    </xf>
    <xf numFmtId="0" fontId="31" fillId="0" borderId="7" xfId="0" applyFont="1" applyBorder="1" applyAlignment="1">
      <alignment vertical="center" wrapText="1"/>
    </xf>
    <xf numFmtId="0" fontId="34" fillId="0" borderId="23" xfId="0" applyFont="1" applyBorder="1">
      <alignment vertical="center"/>
    </xf>
    <xf numFmtId="0" fontId="21" fillId="9" borderId="7" xfId="0" applyFont="1" applyFill="1" applyBorder="1">
      <alignment vertical="center"/>
    </xf>
    <xf numFmtId="0" fontId="5" fillId="0" borderId="52" xfId="0" applyFont="1" applyBorder="1" applyAlignment="1">
      <alignment vertical="center" wrapText="1"/>
    </xf>
    <xf numFmtId="0" fontId="21" fillId="0" borderId="7" xfId="0" applyFont="1" applyBorder="1" applyAlignment="1">
      <alignment vertical="center" wrapText="1"/>
    </xf>
    <xf numFmtId="0" fontId="20" fillId="0" borderId="54" xfId="0" applyFont="1" applyBorder="1">
      <alignment vertical="center"/>
    </xf>
    <xf numFmtId="0" fontId="28" fillId="0" borderId="52" xfId="0" applyFont="1" applyBorder="1" applyAlignment="1">
      <alignment vertical="center" wrapText="1"/>
    </xf>
    <xf numFmtId="0" fontId="37" fillId="0" borderId="9" xfId="0" applyFont="1" applyBorder="1" applyAlignment="1">
      <alignment vertical="center" wrapText="1"/>
    </xf>
    <xf numFmtId="0" fontId="38" fillId="0" borderId="56" xfId="0" applyFont="1" applyBorder="1">
      <alignment vertical="center"/>
    </xf>
    <xf numFmtId="0" fontId="20" fillId="9" borderId="54" xfId="0" applyFont="1" applyFill="1" applyBorder="1">
      <alignment vertical="center"/>
    </xf>
    <xf numFmtId="0" fontId="8" fillId="0" borderId="56" xfId="0" applyFont="1" applyBorder="1" applyAlignment="1">
      <alignment vertical="center" wrapText="1"/>
    </xf>
    <xf numFmtId="0" fontId="39" fillId="0" borderId="23" xfId="0" applyFont="1" applyBorder="1" applyAlignment="1">
      <alignment vertical="center" wrapText="1"/>
    </xf>
    <xf numFmtId="0" fontId="17" fillId="0" borderId="54" xfId="0" applyFont="1" applyBorder="1">
      <alignment vertical="center"/>
    </xf>
    <xf numFmtId="0" fontId="40" fillId="9" borderId="54" xfId="0" applyFont="1" applyFill="1" applyBorder="1">
      <alignment vertical="center"/>
    </xf>
    <xf numFmtId="0" fontId="9" fillId="0" borderId="1" xfId="0" applyFont="1" applyBorder="1">
      <alignment vertical="center"/>
    </xf>
    <xf numFmtId="0" fontId="41" fillId="0" borderId="52" xfId="0" applyFont="1" applyBorder="1" applyAlignment="1">
      <alignment vertical="center" wrapText="1"/>
    </xf>
    <xf numFmtId="0" fontId="40" fillId="0" borderId="1" xfId="0" applyFont="1" applyBorder="1" applyAlignment="1">
      <alignment vertical="center" wrapText="1"/>
    </xf>
    <xf numFmtId="0" fontId="42" fillId="0" borderId="1" xfId="0" applyFont="1" applyBorder="1">
      <alignment vertical="center"/>
    </xf>
    <xf numFmtId="0" fontId="43" fillId="4" borderId="1" xfId="0" applyFont="1" applyFill="1" applyBorder="1">
      <alignment vertical="center"/>
    </xf>
    <xf numFmtId="0" fontId="27" fillId="4" borderId="1" xfId="0" applyFont="1" applyFill="1" applyBorder="1">
      <alignment vertical="center"/>
    </xf>
    <xf numFmtId="0" fontId="27" fillId="0" borderId="12" xfId="0" applyFont="1" applyBorder="1">
      <alignment vertical="center"/>
    </xf>
    <xf numFmtId="0" fontId="27" fillId="13" borderId="12" xfId="0" applyFont="1" applyFill="1" applyBorder="1">
      <alignment vertical="center"/>
    </xf>
    <xf numFmtId="0" fontId="23" fillId="9" borderId="12" xfId="0" applyFont="1" applyFill="1" applyBorder="1" applyAlignment="1">
      <alignment vertical="center" wrapText="1"/>
    </xf>
    <xf numFmtId="0" fontId="9" fillId="0" borderId="56" xfId="0" applyFont="1" applyBorder="1" applyAlignment="1">
      <alignment vertical="center" wrapText="1"/>
    </xf>
    <xf numFmtId="0" fontId="40" fillId="0" borderId="7" xfId="0" applyFont="1" applyBorder="1" applyAlignment="1">
      <alignment vertical="center" wrapText="1"/>
    </xf>
    <xf numFmtId="0" fontId="42" fillId="0" borderId="7" xfId="0" applyFont="1" applyBorder="1">
      <alignment vertical="center"/>
    </xf>
    <xf numFmtId="0" fontId="40" fillId="0" borderId="52" xfId="0" applyFont="1" applyBorder="1" applyAlignment="1">
      <alignment vertical="center" wrapText="1"/>
    </xf>
    <xf numFmtId="0" fontId="44" fillId="0" borderId="23" xfId="0" applyFont="1" applyBorder="1" applyAlignment="1">
      <alignment vertical="center" wrapText="1"/>
    </xf>
    <xf numFmtId="0" fontId="32" fillId="9" borderId="54" xfId="0" applyFont="1" applyFill="1" applyBorder="1">
      <alignment vertical="center"/>
    </xf>
    <xf numFmtId="0" fontId="32" fillId="0" borderId="52" xfId="0" applyFont="1" applyBorder="1" applyAlignment="1">
      <alignment vertical="center" wrapText="1"/>
    </xf>
    <xf numFmtId="0" fontId="32" fillId="0" borderId="7" xfId="0" applyFont="1" applyBorder="1" applyAlignment="1">
      <alignment vertical="center" wrapText="1"/>
    </xf>
    <xf numFmtId="0" fontId="32" fillId="0" borderId="23" xfId="0" applyFont="1" applyBorder="1" applyAlignment="1">
      <alignment vertical="center" wrapText="1"/>
    </xf>
    <xf numFmtId="0" fontId="45" fillId="6" borderId="23" xfId="0" applyFont="1" applyFill="1" applyBorder="1">
      <alignment vertical="center"/>
    </xf>
    <xf numFmtId="0" fontId="46" fillId="0" borderId="23" xfId="0" applyFont="1" applyBorder="1">
      <alignment vertical="center"/>
    </xf>
    <xf numFmtId="0" fontId="45" fillId="0" borderId="23" xfId="0" applyFont="1" applyBorder="1" applyAlignment="1">
      <alignment vertical="center" wrapText="1"/>
    </xf>
    <xf numFmtId="0" fontId="34" fillId="0" borderId="54" xfId="0" applyFont="1" applyBorder="1">
      <alignment vertical="center"/>
    </xf>
    <xf numFmtId="0" fontId="47" fillId="0" borderId="55" xfId="0" applyFont="1" applyBorder="1">
      <alignment vertical="center"/>
    </xf>
    <xf numFmtId="0" fontId="36" fillId="0" borderId="56" xfId="0" applyFont="1" applyBorder="1">
      <alignment vertical="center"/>
    </xf>
    <xf numFmtId="0" fontId="39" fillId="6" borderId="23" xfId="0" applyFont="1" applyFill="1" applyBorder="1">
      <alignment vertical="center"/>
    </xf>
    <xf numFmtId="0" fontId="20" fillId="0" borderId="58" xfId="0" applyFont="1" applyBorder="1" applyAlignment="1">
      <alignment vertical="center" wrapText="1"/>
    </xf>
    <xf numFmtId="0" fontId="48" fillId="9" borderId="12" xfId="0" applyFont="1" applyFill="1" applyBorder="1">
      <alignment vertical="center"/>
    </xf>
    <xf numFmtId="0" fontId="49" fillId="0" borderId="55" xfId="0" applyFont="1" applyBorder="1">
      <alignment vertical="center"/>
    </xf>
    <xf numFmtId="0" fontId="48" fillId="0" borderId="1" xfId="0" applyFont="1" applyBorder="1">
      <alignment vertical="center"/>
    </xf>
    <xf numFmtId="0" fontId="49" fillId="0" borderId="56" xfId="0" applyFont="1" applyBorder="1">
      <alignment vertical="center"/>
    </xf>
    <xf numFmtId="0" fontId="20" fillId="0" borderId="52" xfId="0" applyFont="1" applyBorder="1" applyAlignment="1">
      <alignment vertical="center" wrapText="1"/>
    </xf>
    <xf numFmtId="0" fontId="20" fillId="0" borderId="9" xfId="0" applyFont="1" applyBorder="1" applyAlignment="1">
      <alignment vertical="center" wrapText="1"/>
    </xf>
    <xf numFmtId="0" fontId="32" fillId="0" borderId="1" xfId="0" applyFont="1" applyBorder="1">
      <alignment vertical="center"/>
    </xf>
    <xf numFmtId="0" fontId="32" fillId="0" borderId="58" xfId="0" applyFont="1" applyBorder="1" applyAlignment="1">
      <alignment vertical="center" wrapText="1"/>
    </xf>
    <xf numFmtId="0" fontId="45" fillId="0" borderId="55" xfId="0" applyFont="1" applyBorder="1" applyAlignment="1">
      <alignment vertical="center" wrapText="1"/>
    </xf>
    <xf numFmtId="0" fontId="50" fillId="0" borderId="1" xfId="0" applyFont="1" applyBorder="1">
      <alignment vertical="center"/>
    </xf>
    <xf numFmtId="0" fontId="50" fillId="0" borderId="7" xfId="0" applyFont="1" applyBorder="1">
      <alignment vertical="center"/>
    </xf>
    <xf numFmtId="0" fontId="51" fillId="0" borderId="1" xfId="0" applyFont="1" applyBorder="1">
      <alignment vertical="center"/>
    </xf>
    <xf numFmtId="0" fontId="34" fillId="0" borderId="7" xfId="0" applyFont="1" applyBorder="1">
      <alignment vertical="center"/>
    </xf>
    <xf numFmtId="0" fontId="37" fillId="0" borderId="55" xfId="0" applyFont="1" applyBorder="1" applyAlignment="1">
      <alignment vertical="center" wrapText="1"/>
    </xf>
    <xf numFmtId="0" fontId="51" fillId="0" borderId="56" xfId="0" applyFont="1" applyBorder="1">
      <alignment vertical="center"/>
    </xf>
    <xf numFmtId="0" fontId="39" fillId="4" borderId="23" xfId="0" applyFont="1" applyFill="1" applyBorder="1">
      <alignment vertical="center"/>
    </xf>
    <xf numFmtId="0" fontId="51" fillId="0" borderId="59" xfId="0" applyFont="1" applyBorder="1">
      <alignment vertical="center"/>
    </xf>
    <xf numFmtId="0" fontId="36" fillId="0" borderId="59" xfId="0" applyFont="1" applyBorder="1">
      <alignment vertical="center"/>
    </xf>
    <xf numFmtId="0" fontId="49" fillId="0" borderId="59" xfId="0" applyFont="1" applyBorder="1">
      <alignment vertical="center"/>
    </xf>
    <xf numFmtId="0" fontId="39" fillId="0" borderId="23" xfId="0" applyFont="1" applyBorder="1">
      <alignment vertical="center"/>
    </xf>
    <xf numFmtId="0" fontId="7" fillId="0" borderId="60" xfId="0" applyFont="1" applyBorder="1">
      <alignment vertical="center"/>
    </xf>
    <xf numFmtId="0" fontId="28" fillId="0" borderId="59" xfId="0" applyFont="1" applyBorder="1">
      <alignment vertical="center"/>
    </xf>
    <xf numFmtId="0" fontId="7" fillId="0" borderId="61" xfId="0" applyFont="1" applyBorder="1">
      <alignment vertical="center"/>
    </xf>
    <xf numFmtId="0" fontId="19" fillId="0" borderId="7" xfId="0" applyFont="1" applyBorder="1" applyAlignment="1">
      <alignment vertical="center" wrapText="1"/>
    </xf>
    <xf numFmtId="0" fontId="19" fillId="0" borderId="53" xfId="0" applyFont="1" applyBorder="1">
      <alignment vertical="center"/>
    </xf>
    <xf numFmtId="0" fontId="7" fillId="0" borderId="14" xfId="0" applyFont="1" applyBorder="1">
      <alignment vertical="center"/>
    </xf>
    <xf numFmtId="0" fontId="7" fillId="0" borderId="13" xfId="0" applyFont="1" applyBorder="1">
      <alignment vertical="center"/>
    </xf>
    <xf numFmtId="0" fontId="7" fillId="13" borderId="13" xfId="0" applyFont="1" applyFill="1" applyBorder="1">
      <alignment vertical="center"/>
    </xf>
    <xf numFmtId="0" fontId="5" fillId="9" borderId="13" xfId="0" applyFont="1" applyFill="1" applyBorder="1">
      <alignment vertical="center"/>
    </xf>
    <xf numFmtId="0" fontId="19" fillId="0" borderId="57" xfId="0" applyFont="1" applyBorder="1">
      <alignment vertical="center"/>
    </xf>
    <xf numFmtId="0" fontId="19" fillId="14" borderId="7" xfId="0" applyFont="1" applyFill="1" applyBorder="1" applyAlignment="1">
      <alignment vertical="center" wrapText="1"/>
    </xf>
    <xf numFmtId="0" fontId="19" fillId="14" borderId="27" xfId="0" applyFont="1" applyFill="1" applyBorder="1">
      <alignment vertical="center"/>
    </xf>
    <xf numFmtId="0" fontId="28" fillId="14" borderId="27" xfId="0" applyFont="1" applyFill="1" applyBorder="1" applyAlignment="1">
      <alignment vertical="center" wrapText="1"/>
    </xf>
    <xf numFmtId="0" fontId="20" fillId="14" borderId="27" xfId="0" applyFont="1" applyFill="1" applyBorder="1">
      <alignment vertical="center"/>
    </xf>
    <xf numFmtId="0" fontId="20" fillId="14" borderId="53" xfId="0" applyFont="1" applyFill="1" applyBorder="1" applyAlignment="1">
      <alignment vertical="center" wrapText="1"/>
    </xf>
    <xf numFmtId="0" fontId="19" fillId="14" borderId="1" xfId="0" applyFont="1" applyFill="1" applyBorder="1">
      <alignment vertical="center"/>
    </xf>
    <xf numFmtId="0" fontId="19" fillId="14" borderId="7" xfId="0" applyFont="1" applyFill="1" applyBorder="1">
      <alignment vertical="center"/>
    </xf>
    <xf numFmtId="0" fontId="22" fillId="14" borderId="1" xfId="0" applyFont="1" applyFill="1" applyBorder="1">
      <alignment vertical="center"/>
    </xf>
    <xf numFmtId="0" fontId="7" fillId="14" borderId="24" xfId="0" applyFont="1" applyFill="1" applyBorder="1">
      <alignment vertical="center"/>
    </xf>
    <xf numFmtId="0" fontId="7" fillId="14" borderId="51" xfId="0" applyFont="1" applyFill="1" applyBorder="1">
      <alignment vertical="center"/>
    </xf>
    <xf numFmtId="0" fontId="3" fillId="9" borderId="51" xfId="0" applyFont="1" applyFill="1" applyBorder="1" applyAlignment="1">
      <alignment vertical="center" wrapText="1"/>
    </xf>
    <xf numFmtId="0" fontId="19" fillId="14" borderId="52" xfId="0" applyFont="1" applyFill="1" applyBorder="1">
      <alignment vertical="center"/>
    </xf>
    <xf numFmtId="0" fontId="5" fillId="14" borderId="40" xfId="0" applyFont="1" applyFill="1" applyBorder="1">
      <alignment vertical="center"/>
    </xf>
    <xf numFmtId="0" fontId="20" fillId="14" borderId="27" xfId="0" applyFont="1" applyFill="1" applyBorder="1" applyAlignment="1">
      <alignment vertical="center" wrapText="1"/>
    </xf>
    <xf numFmtId="0" fontId="19" fillId="13" borderId="7" xfId="0" applyFont="1" applyFill="1" applyBorder="1" applyAlignment="1">
      <alignment vertical="center" wrapText="1"/>
    </xf>
    <xf numFmtId="0" fontId="21" fillId="0" borderId="53" xfId="0" applyFont="1" applyBorder="1" applyAlignment="1">
      <alignment vertical="center" wrapText="1"/>
    </xf>
    <xf numFmtId="0" fontId="8" fillId="0" borderId="27" xfId="0" applyFont="1" applyBorder="1" applyAlignment="1">
      <alignment vertical="center" wrapText="1"/>
    </xf>
    <xf numFmtId="0" fontId="35" fillId="0" borderId="7" xfId="0" applyFont="1" applyBorder="1">
      <alignment vertical="center"/>
    </xf>
    <xf numFmtId="0" fontId="34" fillId="0" borderId="7" xfId="0" applyFont="1" applyBorder="1" applyAlignment="1">
      <alignment vertical="center" wrapText="1"/>
    </xf>
    <xf numFmtId="0" fontId="32" fillId="0" borderId="53" xfId="0" applyFont="1" applyBorder="1" applyAlignment="1">
      <alignment vertical="center" wrapText="1"/>
    </xf>
    <xf numFmtId="0" fontId="5" fillId="9" borderId="51" xfId="0" applyFont="1" applyFill="1" applyBorder="1" applyAlignment="1">
      <alignment vertical="center" wrapText="1"/>
    </xf>
    <xf numFmtId="0" fontId="34" fillId="0" borderId="27" xfId="0" applyFont="1" applyBorder="1">
      <alignment vertical="center"/>
    </xf>
    <xf numFmtId="0" fontId="31" fillId="0" borderId="53" xfId="0" applyFont="1" applyBorder="1" applyAlignment="1">
      <alignment vertical="center" wrapText="1"/>
    </xf>
    <xf numFmtId="0" fontId="34" fillId="0" borderId="52" xfId="0" applyFont="1" applyBorder="1" applyAlignment="1">
      <alignment vertical="center" wrapText="1"/>
    </xf>
    <xf numFmtId="0" fontId="51" fillId="0" borderId="7" xfId="0" applyFont="1" applyBorder="1">
      <alignment vertical="center"/>
    </xf>
    <xf numFmtId="0" fontId="51" fillId="0" borderId="62" xfId="0" applyFont="1" applyBorder="1">
      <alignment vertical="center"/>
    </xf>
    <xf numFmtId="0" fontId="51" fillId="0" borderId="27" xfId="0" applyFont="1" applyBorder="1">
      <alignment vertical="center"/>
    </xf>
    <xf numFmtId="0" fontId="20" fillId="0" borderId="3" xfId="0" applyFont="1" applyBorder="1" applyAlignment="1">
      <alignment vertical="center" wrapText="1"/>
    </xf>
    <xf numFmtId="0" fontId="34" fillId="0" borderId="27" xfId="0" applyFont="1" applyBorder="1" applyAlignment="1">
      <alignment vertical="center" wrapText="1"/>
    </xf>
    <xf numFmtId="0" fontId="7" fillId="13" borderId="1" xfId="0" applyFont="1" applyFill="1" applyBorder="1">
      <alignment vertical="center"/>
    </xf>
    <xf numFmtId="0" fontId="32" fillId="14" borderId="1" xfId="0" applyFont="1" applyFill="1" applyBorder="1">
      <alignment vertical="center"/>
    </xf>
    <xf numFmtId="0" fontId="34" fillId="14" borderId="7" xfId="0" applyFont="1" applyFill="1" applyBorder="1">
      <alignment vertical="center"/>
    </xf>
    <xf numFmtId="0" fontId="32" fillId="14" borderId="1" xfId="0" applyFont="1" applyFill="1" applyBorder="1" applyAlignment="1">
      <alignment vertical="center" wrapText="1"/>
    </xf>
    <xf numFmtId="0" fontId="32" fillId="14" borderId="53" xfId="0" applyFont="1" applyFill="1" applyBorder="1" applyAlignment="1">
      <alignment vertical="center" wrapText="1"/>
    </xf>
    <xf numFmtId="0" fontId="34" fillId="14" borderId="27" xfId="0" applyFont="1" applyFill="1" applyBorder="1">
      <alignment vertical="center"/>
    </xf>
    <xf numFmtId="0" fontId="34" fillId="14" borderId="1" xfId="0" applyFont="1" applyFill="1" applyBorder="1">
      <alignment vertical="center"/>
    </xf>
    <xf numFmtId="0" fontId="33" fillId="14" borderId="1" xfId="0" applyFont="1" applyFill="1" applyBorder="1">
      <alignment vertical="center"/>
    </xf>
    <xf numFmtId="0" fontId="32" fillId="14" borderId="52" xfId="0" applyFont="1" applyFill="1" applyBorder="1" applyAlignment="1">
      <alignment vertical="center" wrapText="1"/>
    </xf>
    <xf numFmtId="0" fontId="23" fillId="14" borderId="56" xfId="0" applyFont="1" applyFill="1" applyBorder="1">
      <alignment vertical="center"/>
    </xf>
    <xf numFmtId="0" fontId="20" fillId="0" borderId="9" xfId="0" applyFont="1" applyBorder="1">
      <alignment vertical="center"/>
    </xf>
    <xf numFmtId="0" fontId="20" fillId="6" borderId="8" xfId="0" applyFont="1" applyFill="1" applyBorder="1" applyAlignment="1">
      <alignment vertical="center" wrapText="1"/>
    </xf>
    <xf numFmtId="0" fontId="20" fillId="0" borderId="8" xfId="0" applyFont="1" applyBorder="1" applyAlignment="1">
      <alignment vertical="center" wrapText="1"/>
    </xf>
    <xf numFmtId="0" fontId="5" fillId="9" borderId="47" xfId="0" applyFont="1" applyFill="1" applyBorder="1">
      <alignment vertical="center"/>
    </xf>
    <xf numFmtId="0" fontId="44" fillId="0" borderId="23" xfId="0" applyFont="1" applyBorder="1">
      <alignment vertical="center"/>
    </xf>
    <xf numFmtId="0" fontId="36" fillId="6" borderId="1" xfId="0" applyFont="1" applyFill="1" applyBorder="1">
      <alignment vertical="center"/>
    </xf>
    <xf numFmtId="0" fontId="40" fillId="6" borderId="8" xfId="0" applyFont="1" applyFill="1" applyBorder="1" applyAlignment="1">
      <alignment vertical="center" wrapText="1"/>
    </xf>
    <xf numFmtId="0" fontId="40" fillId="6" borderId="1" xfId="0" applyFont="1" applyFill="1" applyBorder="1">
      <alignment vertical="center"/>
    </xf>
    <xf numFmtId="0" fontId="40" fillId="6" borderId="27" xfId="0" applyFont="1" applyFill="1" applyBorder="1" applyAlignment="1">
      <alignment vertical="center" wrapText="1"/>
    </xf>
    <xf numFmtId="0" fontId="41" fillId="6" borderId="7" xfId="0" applyFont="1" applyFill="1" applyBorder="1" applyAlignment="1">
      <alignment vertical="center" wrapText="1"/>
    </xf>
    <xf numFmtId="0" fontId="36" fillId="6" borderId="7" xfId="0" applyFont="1" applyFill="1" applyBorder="1">
      <alignment vertical="center"/>
    </xf>
    <xf numFmtId="0" fontId="27" fillId="0" borderId="24" xfId="0" applyFont="1" applyBorder="1">
      <alignment vertical="center"/>
    </xf>
    <xf numFmtId="0" fontId="52" fillId="9" borderId="51" xfId="0" applyFont="1" applyFill="1" applyBorder="1">
      <alignment vertical="center"/>
    </xf>
    <xf numFmtId="0" fontId="36" fillId="0" borderId="52" xfId="0" applyFont="1" applyBorder="1">
      <alignment vertical="center"/>
    </xf>
    <xf numFmtId="0" fontId="23" fillId="0" borderId="40" xfId="0" applyFont="1" applyBorder="1">
      <alignment vertical="center"/>
    </xf>
    <xf numFmtId="0" fontId="19" fillId="6" borderId="1" xfId="0" applyFont="1" applyFill="1" applyBorder="1">
      <alignment vertical="center"/>
    </xf>
    <xf numFmtId="0" fontId="19" fillId="6" borderId="8" xfId="0" applyFont="1" applyFill="1" applyBorder="1" applyAlignment="1">
      <alignment vertical="center" wrapText="1"/>
    </xf>
    <xf numFmtId="0" fontId="20" fillId="6" borderId="1" xfId="0" applyFont="1" applyFill="1" applyBorder="1">
      <alignment vertical="center"/>
    </xf>
    <xf numFmtId="0" fontId="5" fillId="6" borderId="27" xfId="0" applyFont="1" applyFill="1" applyBorder="1" applyAlignment="1">
      <alignment vertical="center" wrapText="1"/>
    </xf>
    <xf numFmtId="0" fontId="19" fillId="6" borderId="7" xfId="0" applyFont="1" applyFill="1" applyBorder="1" applyAlignment="1">
      <alignment vertical="center" wrapText="1"/>
    </xf>
    <xf numFmtId="0" fontId="19" fillId="6" borderId="7" xfId="0" applyFont="1" applyFill="1" applyBorder="1">
      <alignment vertical="center"/>
    </xf>
    <xf numFmtId="0" fontId="7" fillId="0" borderId="63" xfId="0" applyFont="1" applyBorder="1">
      <alignment vertical="center"/>
    </xf>
    <xf numFmtId="0" fontId="7" fillId="13" borderId="64" xfId="0" applyFont="1" applyFill="1" applyBorder="1">
      <alignment vertical="center"/>
    </xf>
    <xf numFmtId="0" fontId="5" fillId="9" borderId="64" xfId="0" applyFont="1" applyFill="1" applyBorder="1" applyAlignment="1">
      <alignment vertical="center" wrapText="1"/>
    </xf>
    <xf numFmtId="0" fontId="53" fillId="6" borderId="9" xfId="0" applyFont="1" applyFill="1" applyBorder="1" applyAlignment="1">
      <alignment vertical="center" wrapText="1"/>
    </xf>
    <xf numFmtId="0" fontId="21" fillId="6" borderId="1" xfId="0" applyFont="1" applyFill="1" applyBorder="1" applyAlignment="1">
      <alignment vertical="center" wrapText="1"/>
    </xf>
    <xf numFmtId="0" fontId="5" fillId="6" borderId="48" xfId="0" applyFont="1" applyFill="1" applyBorder="1" applyAlignment="1">
      <alignment vertical="center" wrapText="1"/>
    </xf>
    <xf numFmtId="0" fontId="21" fillId="6" borderId="1" xfId="0" applyFont="1" applyFill="1" applyBorder="1">
      <alignment vertical="center"/>
    </xf>
    <xf numFmtId="0" fontId="21" fillId="6" borderId="5" xfId="0" applyFont="1" applyFill="1" applyBorder="1" applyAlignment="1">
      <alignment vertical="center" wrapText="1"/>
    </xf>
    <xf numFmtId="0" fontId="7" fillId="0" borderId="65" xfId="0" applyFont="1" applyBorder="1">
      <alignment vertical="center"/>
    </xf>
    <xf numFmtId="0" fontId="20" fillId="6" borderId="27" xfId="0" applyFont="1" applyFill="1" applyBorder="1" applyAlignment="1">
      <alignment vertical="center" wrapText="1"/>
    </xf>
    <xf numFmtId="0" fontId="7" fillId="0" borderId="2" xfId="0" applyFont="1" applyBorder="1">
      <alignment vertical="center"/>
    </xf>
    <xf numFmtId="0" fontId="7" fillId="13" borderId="19" xfId="0" applyFont="1" applyFill="1" applyBorder="1">
      <alignment vertical="center"/>
    </xf>
    <xf numFmtId="0" fontId="5" fillId="9" borderId="19" xfId="0" applyFont="1" applyFill="1" applyBorder="1">
      <alignment vertical="center"/>
    </xf>
    <xf numFmtId="0" fontId="5" fillId="6" borderId="52" xfId="0" applyFont="1" applyFill="1" applyBorder="1">
      <alignment vertical="center"/>
    </xf>
    <xf numFmtId="0" fontId="5" fillId="6" borderId="5" xfId="0" applyFont="1" applyFill="1" applyBorder="1" applyAlignment="1">
      <alignment vertical="center" wrapText="1"/>
    </xf>
    <xf numFmtId="0" fontId="23" fillId="6" borderId="1" xfId="0" applyFont="1" applyFill="1" applyBorder="1">
      <alignment vertical="center"/>
    </xf>
    <xf numFmtId="0" fontId="23" fillId="6" borderId="48" xfId="0" applyFont="1" applyFill="1" applyBorder="1" applyAlignment="1">
      <alignment vertical="center" wrapText="1"/>
    </xf>
    <xf numFmtId="0" fontId="25" fillId="6" borderId="1" xfId="0" applyFont="1" applyFill="1" applyBorder="1">
      <alignment vertical="center"/>
    </xf>
    <xf numFmtId="0" fontId="23" fillId="6" borderId="24" xfId="0" applyFont="1" applyFill="1" applyBorder="1" applyAlignment="1">
      <alignment vertical="center" wrapText="1"/>
    </xf>
    <xf numFmtId="0" fontId="23" fillId="6" borderId="5" xfId="0" applyFont="1" applyFill="1" applyBorder="1" applyAlignment="1">
      <alignment vertical="center" wrapText="1"/>
    </xf>
    <xf numFmtId="0" fontId="23" fillId="6" borderId="5" xfId="0" applyFont="1" applyFill="1" applyBorder="1">
      <alignment vertical="center"/>
    </xf>
    <xf numFmtId="0" fontId="27" fillId="0" borderId="65" xfId="0" applyFont="1" applyBorder="1">
      <alignment vertical="center"/>
    </xf>
    <xf numFmtId="0" fontId="4" fillId="9" borderId="51" xfId="0" applyFont="1" applyFill="1" applyBorder="1">
      <alignment vertical="center"/>
    </xf>
    <xf numFmtId="0" fontId="36" fillId="6" borderId="8" xfId="0" applyFont="1" applyFill="1" applyBorder="1" applyAlignment="1">
      <alignment vertical="center" wrapText="1"/>
    </xf>
    <xf numFmtId="0" fontId="36" fillId="6" borderId="7" xfId="0" applyFont="1" applyFill="1" applyBorder="1" applyAlignment="1">
      <alignment vertical="center" wrapText="1"/>
    </xf>
    <xf numFmtId="0" fontId="27" fillId="0" borderId="2" xfId="0" applyFont="1" applyBorder="1">
      <alignment vertical="center"/>
    </xf>
    <xf numFmtId="0" fontId="52" fillId="9" borderId="19" xfId="0" applyFont="1" applyFill="1" applyBorder="1">
      <alignment vertical="center"/>
    </xf>
    <xf numFmtId="0" fontId="45" fillId="0" borderId="23" xfId="0" applyFont="1" applyBorder="1">
      <alignment vertical="center"/>
    </xf>
    <xf numFmtId="0" fontId="34" fillId="6" borderId="1" xfId="0" applyFont="1" applyFill="1" applyBorder="1">
      <alignment vertical="center"/>
    </xf>
    <xf numFmtId="0" fontId="34" fillId="6" borderId="8" xfId="0" applyFont="1" applyFill="1" applyBorder="1" applyAlignment="1">
      <alignment vertical="center" wrapText="1"/>
    </xf>
    <xf numFmtId="0" fontId="32" fillId="6" borderId="1" xfId="0" applyFont="1" applyFill="1" applyBorder="1">
      <alignment vertical="center"/>
    </xf>
    <xf numFmtId="0" fontId="32" fillId="6" borderId="27" xfId="0" applyFont="1" applyFill="1" applyBorder="1" applyAlignment="1">
      <alignment vertical="center" wrapText="1"/>
    </xf>
    <xf numFmtId="0" fontId="34" fillId="6" borderId="7" xfId="0" applyFont="1" applyFill="1" applyBorder="1" applyAlignment="1">
      <alignment vertical="center" wrapText="1"/>
    </xf>
    <xf numFmtId="0" fontId="34" fillId="6" borderId="7" xfId="0" applyFont="1" applyFill="1" applyBorder="1">
      <alignment vertical="center"/>
    </xf>
    <xf numFmtId="0" fontId="27" fillId="13" borderId="51" xfId="0" applyFont="1" applyFill="1" applyBorder="1">
      <alignment vertical="center"/>
    </xf>
    <xf numFmtId="0" fontId="54" fillId="9" borderId="51" xfId="0" applyFont="1" applyFill="1" applyBorder="1">
      <alignment vertical="center"/>
    </xf>
    <xf numFmtId="0" fontId="31" fillId="6" borderId="8" xfId="0" applyFont="1" applyFill="1" applyBorder="1" applyAlignment="1">
      <alignment vertical="center" wrapText="1"/>
    </xf>
    <xf numFmtId="0" fontId="23" fillId="6" borderId="27" xfId="0" applyFont="1" applyFill="1" applyBorder="1" applyAlignment="1">
      <alignment vertical="center" wrapText="1"/>
    </xf>
    <xf numFmtId="0" fontId="27" fillId="13" borderId="19" xfId="0" applyFont="1" applyFill="1" applyBorder="1">
      <alignment vertical="center"/>
    </xf>
    <xf numFmtId="0" fontId="54" fillId="9" borderId="19" xfId="0" applyFont="1" applyFill="1" applyBorder="1">
      <alignment vertical="center"/>
    </xf>
    <xf numFmtId="0" fontId="5" fillId="6" borderId="24" xfId="0" applyFont="1" applyFill="1" applyBorder="1" applyAlignment="1">
      <alignment vertical="center" wrapText="1"/>
    </xf>
    <xf numFmtId="0" fontId="19" fillId="6" borderId="27" xfId="0" applyFont="1" applyFill="1" applyBorder="1" applyAlignment="1">
      <alignment vertical="center" wrapText="1"/>
    </xf>
    <xf numFmtId="0" fontId="5" fillId="9" borderId="0" xfId="0" applyFont="1" applyFill="1">
      <alignment vertical="center"/>
    </xf>
    <xf numFmtId="0" fontId="19" fillId="0" borderId="40" xfId="0" applyFont="1" applyBorder="1">
      <alignment vertical="center"/>
    </xf>
    <xf numFmtId="0" fontId="28" fillId="6" borderId="1" xfId="0" applyFont="1" applyFill="1" applyBorder="1">
      <alignment vertical="center"/>
    </xf>
    <xf numFmtId="0" fontId="5" fillId="0" borderId="53" xfId="0" applyFont="1" applyBorder="1">
      <alignment vertical="center"/>
    </xf>
    <xf numFmtId="0" fontId="31" fillId="6" borderId="1" xfId="0" applyFont="1" applyFill="1" applyBorder="1">
      <alignment vertical="center"/>
    </xf>
    <xf numFmtId="0" fontId="31" fillId="6" borderId="27" xfId="0" applyFont="1" applyFill="1" applyBorder="1" applyAlignment="1">
      <alignment vertical="center" wrapText="1"/>
    </xf>
    <xf numFmtId="0" fontId="5" fillId="0" borderId="56" xfId="0" applyFont="1" applyBorder="1">
      <alignment vertical="center"/>
    </xf>
    <xf numFmtId="0" fontId="41" fillId="6" borderId="1" xfId="0" applyFont="1" applyFill="1" applyBorder="1">
      <alignment vertical="center"/>
    </xf>
    <xf numFmtId="0" fontId="27" fillId="13" borderId="1" xfId="0" applyFont="1" applyFill="1" applyBorder="1">
      <alignment vertical="center"/>
    </xf>
    <xf numFmtId="0" fontId="54" fillId="9" borderId="1" xfId="0" applyFont="1" applyFill="1" applyBorder="1">
      <alignment vertical="center"/>
    </xf>
    <xf numFmtId="0" fontId="23" fillId="0" borderId="53" xfId="0" applyFont="1" applyBorder="1">
      <alignment vertical="center"/>
    </xf>
    <xf numFmtId="0" fontId="5" fillId="6" borderId="8" xfId="0" applyFont="1" applyFill="1" applyBorder="1" applyAlignment="1">
      <alignment vertical="center" wrapText="1"/>
    </xf>
    <xf numFmtId="0" fontId="28" fillId="6" borderId="8" xfId="0" applyFont="1" applyFill="1" applyBorder="1">
      <alignment vertical="center"/>
    </xf>
    <xf numFmtId="0" fontId="28" fillId="6" borderId="7" xfId="0" applyFont="1" applyFill="1" applyBorder="1" applyAlignment="1">
      <alignment vertical="center" wrapText="1"/>
    </xf>
    <xf numFmtId="0" fontId="19" fillId="6" borderId="1" xfId="0" applyFont="1" applyFill="1" applyBorder="1" applyAlignment="1">
      <alignment vertical="center" wrapText="1"/>
    </xf>
    <xf numFmtId="0" fontId="31" fillId="6" borderId="7" xfId="0" applyFont="1" applyFill="1" applyBorder="1" applyAlignment="1">
      <alignment vertical="center" wrapText="1"/>
    </xf>
    <xf numFmtId="0" fontId="5" fillId="6" borderId="53" xfId="0" applyFont="1" applyFill="1" applyBorder="1">
      <alignment vertical="center"/>
    </xf>
    <xf numFmtId="0" fontId="28" fillId="6" borderId="27" xfId="0" applyFont="1" applyFill="1" applyBorder="1" applyAlignment="1">
      <alignment vertical="center" wrapText="1"/>
    </xf>
    <xf numFmtId="0" fontId="46" fillId="0" borderId="66" xfId="0" applyFont="1" applyBorder="1">
      <alignment vertical="center"/>
    </xf>
    <xf numFmtId="0" fontId="32" fillId="0" borderId="27" xfId="0" applyFont="1" applyBorder="1" applyAlignment="1">
      <alignment vertical="center" wrapText="1"/>
    </xf>
    <xf numFmtId="0" fontId="21" fillId="0" borderId="14" xfId="0" applyFont="1" applyBorder="1" applyAlignment="1">
      <alignment vertical="center" wrapText="1"/>
    </xf>
    <xf numFmtId="0" fontId="6" fillId="0" borderId="14" xfId="0" applyFont="1" applyBorder="1">
      <alignment vertical="center"/>
    </xf>
    <xf numFmtId="0" fontId="21" fillId="0" borderId="24" xfId="0" applyFont="1" applyBorder="1" applyAlignment="1">
      <alignment vertical="center" wrapText="1"/>
    </xf>
    <xf numFmtId="0" fontId="5" fillId="0" borderId="5" xfId="0" applyFont="1" applyBorder="1">
      <alignment vertical="center"/>
    </xf>
    <xf numFmtId="0" fontId="28" fillId="0" borderId="0" xfId="0" applyFont="1" applyAlignment="1">
      <alignment vertical="center" wrapText="1"/>
    </xf>
    <xf numFmtId="0" fontId="28" fillId="6" borderId="53" xfId="0" applyFont="1" applyFill="1" applyBorder="1" applyAlignment="1">
      <alignment vertical="center" wrapText="1"/>
    </xf>
    <xf numFmtId="0" fontId="46" fillId="0" borderId="23" xfId="0" applyFont="1" applyBorder="1" applyAlignment="1">
      <alignment vertical="center" wrapText="1"/>
    </xf>
    <xf numFmtId="0" fontId="41" fillId="0" borderId="1" xfId="0" applyFont="1" applyBorder="1" applyAlignment="1">
      <alignment vertical="center" wrapText="1"/>
    </xf>
    <xf numFmtId="0" fontId="25" fillId="0" borderId="53" xfId="0" applyFont="1" applyBorder="1" applyAlignment="1">
      <alignment vertical="center" wrapText="1"/>
    </xf>
    <xf numFmtId="0" fontId="10" fillId="0" borderId="56" xfId="0" applyFont="1" applyBorder="1" applyAlignment="1">
      <alignment vertical="center" wrapText="1"/>
    </xf>
    <xf numFmtId="0" fontId="36" fillId="0" borderId="1" xfId="0" applyFont="1" applyBorder="1" applyAlignment="1">
      <alignment vertical="center" wrapText="1"/>
    </xf>
    <xf numFmtId="0" fontId="23" fillId="0" borderId="53" xfId="0" applyFont="1" applyBorder="1" applyAlignment="1">
      <alignment vertical="center" wrapText="1"/>
    </xf>
    <xf numFmtId="0" fontId="7" fillId="13" borderId="33" xfId="0" applyFont="1" applyFill="1" applyBorder="1">
      <alignment vertical="center"/>
    </xf>
    <xf numFmtId="0" fontId="5" fillId="9" borderId="33" xfId="0" applyFont="1" applyFill="1" applyBorder="1" applyAlignment="1">
      <alignment vertical="center" wrapText="1"/>
    </xf>
    <xf numFmtId="0" fontId="28" fillId="0" borderId="2" xfId="0" applyFont="1" applyBorder="1" applyAlignment="1">
      <alignment vertical="center" wrapText="1"/>
    </xf>
    <xf numFmtId="0" fontId="0" fillId="0" borderId="53" xfId="0" applyBorder="1" applyAlignment="1">
      <alignment vertical="center" wrapText="1"/>
    </xf>
    <xf numFmtId="0" fontId="31" fillId="0" borderId="32" xfId="0" applyFont="1" applyBorder="1" applyAlignment="1">
      <alignment vertical="center" wrapText="1"/>
    </xf>
    <xf numFmtId="0" fontId="46" fillId="0" borderId="4" xfId="0" applyFont="1" applyBorder="1">
      <alignment vertical="center"/>
    </xf>
    <xf numFmtId="0" fontId="32" fillId="0" borderId="32" xfId="0" applyFont="1" applyBorder="1" applyAlignment="1">
      <alignment vertical="center" wrapText="1"/>
    </xf>
    <xf numFmtId="0" fontId="55" fillId="0" borderId="1" xfId="0" applyFont="1" applyBorder="1" applyAlignment="1">
      <alignment vertical="center" wrapText="1"/>
    </xf>
    <xf numFmtId="0" fontId="5" fillId="0" borderId="8" xfId="0" applyFont="1" applyBorder="1" applyAlignment="1">
      <alignment vertical="center" wrapText="1"/>
    </xf>
    <xf numFmtId="0" fontId="10" fillId="0" borderId="56" xfId="0" applyFont="1" applyBorder="1">
      <alignment vertical="center"/>
    </xf>
    <xf numFmtId="0" fontId="21" fillId="0" borderId="67" xfId="0" applyFont="1" applyBorder="1" applyAlignment="1">
      <alignment vertical="center" wrapText="1"/>
    </xf>
    <xf numFmtId="0" fontId="21" fillId="0" borderId="68" xfId="0" applyFont="1" applyBorder="1" applyAlignment="1">
      <alignment vertical="center" wrapText="1"/>
    </xf>
    <xf numFmtId="0" fontId="21" fillId="0" borderId="10" xfId="0" applyFont="1" applyBorder="1">
      <alignment vertical="center"/>
    </xf>
    <xf numFmtId="0" fontId="56" fillId="9" borderId="12" xfId="0" applyFont="1" applyFill="1" applyBorder="1">
      <alignment vertical="center"/>
    </xf>
    <xf numFmtId="0" fontId="56" fillId="0" borderId="9" xfId="0" applyFont="1" applyBorder="1">
      <alignment vertical="center"/>
    </xf>
    <xf numFmtId="0" fontId="56" fillId="0" borderId="1" xfId="0" applyFont="1" applyBorder="1">
      <alignment vertical="center"/>
    </xf>
    <xf numFmtId="0" fontId="20" fillId="14" borderId="1" xfId="0" applyFont="1" applyFill="1" applyBorder="1">
      <alignment vertical="center"/>
    </xf>
    <xf numFmtId="0" fontId="19" fillId="14" borderId="69" xfId="0" applyFont="1" applyFill="1" applyBorder="1">
      <alignment vertical="center"/>
    </xf>
    <xf numFmtId="0" fontId="20" fillId="14" borderId="1" xfId="0" applyFont="1" applyFill="1" applyBorder="1" applyAlignment="1">
      <alignment vertical="center" wrapText="1"/>
    </xf>
    <xf numFmtId="0" fontId="35" fillId="14" borderId="10" xfId="0" applyFont="1" applyFill="1" applyBorder="1">
      <alignment vertical="center"/>
    </xf>
    <xf numFmtId="0" fontId="7" fillId="14" borderId="12" xfId="0" applyFont="1" applyFill="1" applyBorder="1">
      <alignment vertical="center"/>
    </xf>
    <xf numFmtId="0" fontId="5" fillId="14" borderId="9" xfId="0" applyFont="1" applyFill="1" applyBorder="1">
      <alignment vertical="center"/>
    </xf>
    <xf numFmtId="0" fontId="20" fillId="14" borderId="2" xfId="0" applyFont="1" applyFill="1" applyBorder="1">
      <alignment vertical="center"/>
    </xf>
    <xf numFmtId="0" fontId="19" fillId="14" borderId="2" xfId="0" applyFont="1" applyFill="1" applyBorder="1">
      <alignment vertical="center"/>
    </xf>
    <xf numFmtId="0" fontId="20" fillId="14" borderId="2" xfId="0" applyFont="1" applyFill="1" applyBorder="1" applyAlignment="1">
      <alignment vertical="center" wrapText="1"/>
    </xf>
    <xf numFmtId="0" fontId="19" fillId="0" borderId="10" xfId="0" applyFont="1" applyBorder="1">
      <alignment vertical="center"/>
    </xf>
    <xf numFmtId="0" fontId="5" fillId="0" borderId="57" xfId="0" applyFont="1" applyBorder="1">
      <alignment vertical="center"/>
    </xf>
    <xf numFmtId="0" fontId="5" fillId="9" borderId="48" xfId="0" applyFont="1" applyFill="1" applyBorder="1">
      <alignment vertical="center"/>
    </xf>
    <xf numFmtId="0" fontId="7" fillId="13" borderId="70" xfId="0" applyFont="1" applyFill="1" applyBorder="1">
      <alignment vertical="center"/>
    </xf>
    <xf numFmtId="0" fontId="5" fillId="9" borderId="70" xfId="0" applyFont="1" applyFill="1" applyBorder="1" applyAlignment="1">
      <alignment vertical="center" wrapText="1"/>
    </xf>
    <xf numFmtId="0" fontId="5" fillId="0" borderId="71" xfId="0" applyFont="1" applyBorder="1">
      <alignment vertical="center"/>
    </xf>
    <xf numFmtId="0" fontId="10" fillId="9" borderId="13" xfId="0" applyFont="1" applyFill="1" applyBorder="1" applyAlignment="1">
      <alignment vertical="center" wrapText="1"/>
    </xf>
    <xf numFmtId="0" fontId="10" fillId="0" borderId="57" xfId="0" applyFont="1" applyBorder="1" applyAlignment="1">
      <alignment vertical="center" wrapText="1"/>
    </xf>
    <xf numFmtId="0" fontId="5" fillId="9" borderId="13" xfId="0" applyFont="1" applyFill="1" applyBorder="1" applyAlignment="1">
      <alignment vertical="center" wrapText="1"/>
    </xf>
    <xf numFmtId="0" fontId="5" fillId="0" borderId="57" xfId="0" applyFont="1" applyBorder="1" applyAlignment="1">
      <alignment vertical="center" wrapText="1"/>
    </xf>
    <xf numFmtId="0" fontId="18" fillId="0" borderId="1" xfId="0" applyFont="1" applyBorder="1" applyAlignment="1">
      <alignment vertical="center" wrapText="1"/>
    </xf>
    <xf numFmtId="0" fontId="7" fillId="13" borderId="0" xfId="0" applyFont="1" applyFill="1">
      <alignment vertical="center"/>
    </xf>
    <xf numFmtId="0" fontId="5" fillId="0" borderId="40" xfId="0" applyFont="1" applyBorder="1" applyAlignment="1">
      <alignment vertical="center" wrapText="1"/>
    </xf>
    <xf numFmtId="0" fontId="5" fillId="0" borderId="12" xfId="0" applyFont="1" applyBorder="1">
      <alignment vertical="center"/>
    </xf>
    <xf numFmtId="0" fontId="5" fillId="0" borderId="13" xfId="0" applyFont="1" applyBorder="1">
      <alignment vertical="center"/>
    </xf>
    <xf numFmtId="0" fontId="5" fillId="9" borderId="70" xfId="0" applyFont="1" applyFill="1" applyBorder="1">
      <alignment vertical="center"/>
    </xf>
    <xf numFmtId="0" fontId="5" fillId="0" borderId="72" xfId="0" applyFont="1" applyBorder="1">
      <alignment vertical="center"/>
    </xf>
    <xf numFmtId="0" fontId="7" fillId="0" borderId="26" xfId="0" applyFont="1" applyBorder="1">
      <alignment vertical="center"/>
    </xf>
    <xf numFmtId="0" fontId="7" fillId="0" borderId="73" xfId="0" applyFont="1" applyBorder="1">
      <alignment vertical="center"/>
    </xf>
    <xf numFmtId="0" fontId="7" fillId="0" borderId="7" xfId="0" applyFont="1" applyBorder="1">
      <alignment vertical="center"/>
    </xf>
    <xf numFmtId="0" fontId="31" fillId="6" borderId="1" xfId="0" applyFont="1" applyFill="1" applyBorder="1" applyAlignment="1">
      <alignment vertical="center" wrapText="1"/>
    </xf>
    <xf numFmtId="0" fontId="34" fillId="6" borderId="1" xfId="0" applyFont="1" applyFill="1" applyBorder="1" applyAlignment="1">
      <alignment vertical="center" wrapText="1"/>
    </xf>
    <xf numFmtId="0" fontId="34" fillId="6" borderId="21" xfId="0" applyFont="1" applyFill="1" applyBorder="1">
      <alignment vertical="center"/>
    </xf>
    <xf numFmtId="0" fontId="7" fillId="6" borderId="61" xfId="0" applyFont="1" applyFill="1" applyBorder="1">
      <alignment vertical="center"/>
    </xf>
    <xf numFmtId="0" fontId="34" fillId="6" borderId="27" xfId="0" applyFont="1" applyFill="1" applyBorder="1">
      <alignment vertical="center"/>
    </xf>
    <xf numFmtId="0" fontId="7" fillId="6" borderId="48" xfId="0" applyFont="1" applyFill="1" applyBorder="1">
      <alignment vertical="center"/>
    </xf>
    <xf numFmtId="0" fontId="34" fillId="6" borderId="9" xfId="0" applyFont="1" applyFill="1" applyBorder="1" applyAlignment="1">
      <alignment vertical="center" wrapText="1"/>
    </xf>
    <xf numFmtId="0" fontId="30" fillId="6" borderId="0" xfId="0" applyFont="1" applyFill="1" applyAlignment="1">
      <alignment vertical="center" wrapText="1"/>
    </xf>
    <xf numFmtId="0" fontId="28" fillId="0" borderId="74" xfId="0" applyFont="1" applyBorder="1">
      <alignment vertical="center"/>
    </xf>
    <xf numFmtId="0" fontId="31" fillId="6" borderId="0" xfId="0" applyFont="1" applyFill="1" applyAlignment="1">
      <alignment vertical="center" wrapText="1"/>
    </xf>
    <xf numFmtId="0" fontId="34" fillId="6" borderId="2" xfId="0" applyFont="1" applyFill="1" applyBorder="1" applyAlignment="1">
      <alignment vertical="center" wrapText="1"/>
    </xf>
    <xf numFmtId="0" fontId="31" fillId="6" borderId="30" xfId="0" applyFont="1" applyFill="1" applyBorder="1" applyAlignment="1">
      <alignment vertical="center" wrapText="1"/>
    </xf>
    <xf numFmtId="0" fontId="31" fillId="6" borderId="2" xfId="0" applyFont="1" applyFill="1" applyBorder="1" applyAlignment="1">
      <alignment vertical="center" wrapText="1"/>
    </xf>
    <xf numFmtId="0" fontId="34" fillId="6" borderId="30" xfId="0" applyFont="1" applyFill="1" applyBorder="1" applyAlignment="1">
      <alignment vertical="center" wrapText="1"/>
    </xf>
    <xf numFmtId="0" fontId="7" fillId="6" borderId="47" xfId="0" applyFont="1" applyFill="1" applyBorder="1">
      <alignment vertical="center"/>
    </xf>
    <xf numFmtId="0" fontId="31" fillId="6" borderId="3" xfId="0" applyFont="1" applyFill="1" applyBorder="1" applyAlignment="1">
      <alignment vertical="center" wrapText="1"/>
    </xf>
    <xf numFmtId="0" fontId="31" fillId="6" borderId="1" xfId="0" applyFont="1" applyFill="1" applyBorder="1" applyAlignment="1">
      <alignment horizontal="center" vertical="center"/>
    </xf>
    <xf numFmtId="0" fontId="34" fillId="6" borderId="9" xfId="0" applyFont="1" applyFill="1" applyBorder="1">
      <alignment vertical="center"/>
    </xf>
    <xf numFmtId="0" fontId="21" fillId="6" borderId="0" xfId="0" applyFont="1" applyFill="1" applyAlignment="1">
      <alignment vertical="center" wrapText="1"/>
    </xf>
    <xf numFmtId="0" fontId="21" fillId="6" borderId="0" xfId="0" applyFont="1" applyFill="1" applyAlignment="1">
      <alignment horizontal="center" vertical="center"/>
    </xf>
    <xf numFmtId="0" fontId="7" fillId="6" borderId="0" xfId="0" applyFont="1" applyFill="1">
      <alignment vertical="center"/>
    </xf>
    <xf numFmtId="0" fontId="21" fillId="0" borderId="0" xfId="0" applyFont="1">
      <alignment vertical="center"/>
    </xf>
    <xf numFmtId="0" fontId="1" fillId="2" borderId="1" xfId="0" applyFont="1" applyFill="1" applyBorder="1" applyAlignment="1">
      <alignment horizontal="center" vertical="center"/>
    </xf>
    <xf numFmtId="0" fontId="6" fillId="0" borderId="0" xfId="0" applyFont="1" applyAlignment="1">
      <alignment horizontal="center" vertical="center"/>
    </xf>
    <xf numFmtId="0" fontId="21" fillId="0" borderId="5" xfId="0" applyFont="1" applyBorder="1" applyAlignment="1">
      <alignment vertical="center" wrapText="1"/>
    </xf>
    <xf numFmtId="0" fontId="5" fillId="0" borderId="21" xfId="0" applyFont="1" applyBorder="1">
      <alignment vertical="center"/>
    </xf>
    <xf numFmtId="0" fontId="5" fillId="0" borderId="67" xfId="0" applyFont="1" applyBorder="1">
      <alignment vertical="center"/>
    </xf>
    <xf numFmtId="0" fontId="5" fillId="0" borderId="48" xfId="0" applyFont="1" applyBorder="1">
      <alignment vertical="center"/>
    </xf>
    <xf numFmtId="0" fontId="6" fillId="0" borderId="43" xfId="0" applyFont="1" applyBorder="1">
      <alignment vertical="center"/>
    </xf>
    <xf numFmtId="0" fontId="21" fillId="0" borderId="43" xfId="0" applyFont="1" applyBorder="1" applyAlignment="1">
      <alignment vertical="center" wrapText="1"/>
    </xf>
    <xf numFmtId="0" fontId="5" fillId="0" borderId="43" xfId="0" applyFont="1" applyBorder="1">
      <alignment vertical="center"/>
    </xf>
    <xf numFmtId="0" fontId="5" fillId="0" borderId="75" xfId="0" applyFont="1" applyBorder="1">
      <alignment vertical="center"/>
    </xf>
    <xf numFmtId="0" fontId="29" fillId="0" borderId="23" xfId="0" applyFont="1" applyBorder="1" applyAlignment="1">
      <alignment vertical="center" wrapText="1"/>
    </xf>
    <xf numFmtId="0" fontId="5" fillId="0" borderId="7" xfId="0" applyFont="1" applyBorder="1" applyAlignment="1">
      <alignment vertical="center" wrapText="1"/>
    </xf>
    <xf numFmtId="0" fontId="20" fillId="0" borderId="10" xfId="0" applyFont="1" applyBorder="1" applyAlignment="1">
      <alignment vertical="center" wrapText="1"/>
    </xf>
    <xf numFmtId="0" fontId="21" fillId="0" borderId="10" xfId="0" applyFont="1" applyBorder="1" applyAlignment="1">
      <alignment vertical="center" wrapText="1"/>
    </xf>
    <xf numFmtId="176" fontId="5" fillId="0" borderId="1" xfId="0" applyNumberFormat="1" applyFont="1" applyBorder="1" applyAlignment="1"/>
    <xf numFmtId="0" fontId="57" fillId="0" borderId="0" xfId="0" applyFont="1">
      <alignment vertical="center"/>
    </xf>
    <xf numFmtId="0" fontId="22" fillId="0" borderId="0" xfId="0" applyFont="1">
      <alignment vertical="center"/>
    </xf>
    <xf numFmtId="0" fontId="7" fillId="0" borderId="0" xfId="0" applyFont="1">
      <alignment vertical="center"/>
    </xf>
    <xf numFmtId="0" fontId="58" fillId="0" borderId="0" xfId="0" applyFont="1">
      <alignment vertical="center"/>
    </xf>
    <xf numFmtId="0" fontId="1" fillId="9" borderId="1" xfId="0" applyFont="1" applyFill="1" applyBorder="1">
      <alignment vertical="center"/>
    </xf>
    <xf numFmtId="14" fontId="5" fillId="9" borderId="1" xfId="0" applyNumberFormat="1" applyFont="1" applyFill="1" applyBorder="1">
      <alignment vertical="center"/>
    </xf>
    <xf numFmtId="14" fontId="5" fillId="13" borderId="1" xfId="0" applyNumberFormat="1" applyFont="1" applyFill="1" applyBorder="1">
      <alignment vertical="center"/>
    </xf>
    <xf numFmtId="14" fontId="5" fillId="13" borderId="0" xfId="0" applyNumberFormat="1" applyFont="1" applyFill="1">
      <alignment vertical="center"/>
    </xf>
    <xf numFmtId="10" fontId="59" fillId="0" borderId="1" xfId="0" applyNumberFormat="1" applyFont="1" applyBorder="1" applyAlignment="1">
      <alignment horizontal="right" vertical="center"/>
    </xf>
    <xf numFmtId="10" fontId="59" fillId="0" borderId="0" xfId="0" applyNumberFormat="1" applyFont="1" applyAlignment="1">
      <alignment horizontal="right" vertical="center"/>
    </xf>
    <xf numFmtId="10" fontId="59" fillId="0" borderId="76" xfId="0" applyNumberFormat="1" applyFont="1" applyBorder="1" applyAlignment="1">
      <alignment horizontal="right" vertical="center"/>
    </xf>
    <xf numFmtId="0" fontId="5" fillId="0" borderId="0" xfId="0" applyFont="1" applyAlignment="1"/>
    <xf numFmtId="0" fontId="5" fillId="0" borderId="77" xfId="0" applyFont="1" applyBorder="1" applyAlignment="1"/>
    <xf numFmtId="0" fontId="5" fillId="0" borderId="78" xfId="0" applyFont="1" applyBorder="1">
      <alignment vertical="center"/>
    </xf>
    <xf numFmtId="14" fontId="5" fillId="9" borderId="2" xfId="0" applyNumberFormat="1" applyFont="1" applyFill="1" applyBorder="1">
      <alignment vertical="center"/>
    </xf>
    <xf numFmtId="14" fontId="5" fillId="9" borderId="0" xfId="0" applyNumberFormat="1" applyFont="1" applyFill="1">
      <alignment vertical="center"/>
    </xf>
    <xf numFmtId="0" fontId="8" fillId="0" borderId="0" xfId="0" applyFont="1" applyAlignment="1">
      <alignment vertical="center" wrapText="1"/>
    </xf>
    <xf numFmtId="0" fontId="1" fillId="3" borderId="2" xfId="0" applyFont="1" applyFill="1" applyBorder="1" applyAlignment="1">
      <alignment horizontal="center" vertical="center" wrapText="1"/>
    </xf>
    <xf numFmtId="0" fontId="1" fillId="3" borderId="9" xfId="0" applyFont="1" applyFill="1" applyBorder="1" applyAlignment="1">
      <alignment horizontal="center" vertical="center" wrapText="1"/>
    </xf>
    <xf numFmtId="0" fontId="7" fillId="0" borderId="48" xfId="0" applyFont="1" applyBorder="1">
      <alignment vertical="center"/>
    </xf>
    <xf numFmtId="0" fontId="8" fillId="0" borderId="9" xfId="0" applyFont="1" applyBorder="1">
      <alignment vertical="center"/>
    </xf>
    <xf numFmtId="0" fontId="5" fillId="0" borderId="12" xfId="0" applyFont="1" applyBorder="1" applyAlignment="1">
      <alignment vertical="center" wrapText="1"/>
    </xf>
    <xf numFmtId="0" fontId="5" fillId="0" borderId="3" xfId="0" applyFont="1" applyBorder="1">
      <alignment vertical="center"/>
    </xf>
    <xf numFmtId="0" fontId="23" fillId="0" borderId="1" xfId="0" applyFont="1" applyBorder="1" applyAlignment="1">
      <alignment horizontal="center" vertical="center"/>
    </xf>
    <xf numFmtId="0" fontId="27" fillId="0" borderId="48" xfId="0" applyFont="1" applyBorder="1">
      <alignment vertical="center"/>
    </xf>
    <xf numFmtId="0" fontId="5" fillId="0" borderId="62" xfId="0" applyFont="1" applyBorder="1">
      <alignment vertical="center"/>
    </xf>
    <xf numFmtId="0" fontId="8" fillId="0" borderId="2" xfId="0" applyFont="1" applyBorder="1" applyAlignment="1">
      <alignment vertical="center" wrapText="1"/>
    </xf>
    <xf numFmtId="0" fontId="8" fillId="0" borderId="2" xfId="0" applyFont="1" applyBorder="1">
      <alignment vertical="center"/>
    </xf>
    <xf numFmtId="0" fontId="61" fillId="14" borderId="23" xfId="0" applyFont="1" applyFill="1" applyBorder="1">
      <alignment vertical="center"/>
    </xf>
    <xf numFmtId="0" fontId="61" fillId="14" borderId="23" xfId="0" applyFont="1" applyFill="1" applyBorder="1" applyAlignment="1">
      <alignment horizontal="center" vertical="center"/>
    </xf>
    <xf numFmtId="178" fontId="62" fillId="16" borderId="23" xfId="0" applyNumberFormat="1" applyFont="1" applyFill="1" applyBorder="1" applyAlignment="1">
      <alignment horizontal="center" vertical="center"/>
    </xf>
    <xf numFmtId="178" fontId="63" fillId="16" borderId="23" xfId="0" applyNumberFormat="1" applyFont="1" applyFill="1" applyBorder="1" applyAlignment="1">
      <alignment horizontal="center" vertical="center"/>
    </xf>
    <xf numFmtId="30" fontId="63" fillId="16" borderId="23" xfId="0" applyNumberFormat="1" applyFont="1" applyFill="1" applyBorder="1" applyAlignment="1">
      <alignment horizontal="center" vertical="center"/>
    </xf>
    <xf numFmtId="14" fontId="63" fillId="16" borderId="23" xfId="0" applyNumberFormat="1" applyFont="1" applyFill="1" applyBorder="1">
      <alignment vertical="center"/>
    </xf>
    <xf numFmtId="0" fontId="62" fillId="16" borderId="23" xfId="0" applyFont="1" applyFill="1" applyBorder="1" applyAlignment="1">
      <alignment horizontal="left" vertical="center" wrapText="1"/>
    </xf>
    <xf numFmtId="0" fontId="63" fillId="16" borderId="23" xfId="0" applyFont="1" applyFill="1" applyBorder="1">
      <alignment vertical="center"/>
    </xf>
    <xf numFmtId="14" fontId="63" fillId="16" borderId="23" xfId="0" applyNumberFormat="1" applyFont="1" applyFill="1" applyBorder="1" applyAlignment="1">
      <alignment horizontal="center" vertical="center"/>
    </xf>
    <xf numFmtId="14" fontId="63" fillId="16" borderId="23" xfId="0" applyNumberFormat="1" applyFont="1" applyFill="1" applyBorder="1" applyAlignment="1">
      <alignment vertical="center" wrapText="1"/>
    </xf>
    <xf numFmtId="0" fontId="63" fillId="16" borderId="23" xfId="0" applyFont="1" applyFill="1" applyBorder="1" applyAlignment="1">
      <alignment horizontal="center" vertical="center"/>
    </xf>
    <xf numFmtId="0" fontId="63" fillId="16" borderId="82" xfId="0" applyFont="1" applyFill="1" applyBorder="1">
      <alignment vertical="center"/>
    </xf>
    <xf numFmtId="0" fontId="63" fillId="16" borderId="23" xfId="0" applyFont="1" applyFill="1" applyBorder="1" applyAlignment="1">
      <alignment vertical="center" wrapText="1"/>
    </xf>
    <xf numFmtId="0" fontId="63" fillId="16" borderId="23" xfId="0" applyFont="1" applyFill="1" applyBorder="1" applyAlignment="1">
      <alignment horizontal="center" vertical="center" wrapText="1"/>
    </xf>
    <xf numFmtId="0" fontId="64" fillId="0" borderId="0" xfId="0" applyFont="1">
      <alignment vertical="center"/>
    </xf>
    <xf numFmtId="0" fontId="5" fillId="0" borderId="7" xfId="0" applyFont="1" applyBorder="1" applyAlignment="1">
      <alignment horizontal="center" vertical="center"/>
    </xf>
    <xf numFmtId="0" fontId="8" fillId="0" borderId="0" xfId="0" applyFont="1" applyAlignment="1">
      <alignment horizontal="center" vertical="center"/>
    </xf>
    <xf numFmtId="0" fontId="1" fillId="2" borderId="85" xfId="0" applyFont="1" applyFill="1" applyBorder="1" applyAlignment="1">
      <alignment horizontal="center" vertical="center"/>
    </xf>
    <xf numFmtId="0" fontId="1" fillId="2" borderId="16" xfId="0" applyFont="1" applyFill="1" applyBorder="1" applyAlignment="1">
      <alignment horizontal="center" vertical="center"/>
    </xf>
    <xf numFmtId="0" fontId="1" fillId="2" borderId="17" xfId="0" applyFont="1" applyFill="1" applyBorder="1" applyAlignment="1">
      <alignment horizontal="center" vertical="center"/>
    </xf>
    <xf numFmtId="0" fontId="2" fillId="17" borderId="2" xfId="0" applyFont="1" applyFill="1" applyBorder="1" applyAlignment="1">
      <alignment horizontal="center" vertical="center"/>
    </xf>
    <xf numFmtId="0" fontId="1" fillId="2" borderId="86" xfId="0" applyFont="1" applyFill="1" applyBorder="1" applyAlignment="1">
      <alignment horizontal="center" vertical="center"/>
    </xf>
    <xf numFmtId="0" fontId="65" fillId="0" borderId="0" xfId="0" applyFont="1">
      <alignment vertical="center"/>
    </xf>
    <xf numFmtId="0" fontId="24" fillId="0" borderId="1" xfId="0" applyFont="1" applyBorder="1" applyAlignment="1">
      <alignment vertical="center" wrapText="1"/>
    </xf>
    <xf numFmtId="0" fontId="21" fillId="0" borderId="2" xfId="0" applyFont="1" applyBorder="1" applyAlignment="1">
      <alignment vertical="center" wrapText="1"/>
    </xf>
    <xf numFmtId="0" fontId="21" fillId="0" borderId="1" xfId="0" applyFont="1" applyBorder="1" applyAlignment="1"/>
    <xf numFmtId="0" fontId="21" fillId="0" borderId="2" xfId="0" applyFont="1" applyBorder="1">
      <alignment vertical="center"/>
    </xf>
    <xf numFmtId="0" fontId="21" fillId="0" borderId="0" xfId="0" applyFont="1" applyAlignment="1">
      <alignment vertical="center" wrapText="1"/>
    </xf>
    <xf numFmtId="0" fontId="5" fillId="4" borderId="0" xfId="0" applyFont="1" applyFill="1" applyAlignment="1">
      <alignment vertical="center" wrapText="1"/>
    </xf>
    <xf numFmtId="0" fontId="5" fillId="0" borderId="23" xfId="0" applyFont="1" applyBorder="1" applyAlignment="1">
      <alignment horizontal="left" vertical="center" wrapText="1"/>
    </xf>
    <xf numFmtId="176" fontId="5" fillId="0" borderId="23" xfId="0" applyNumberFormat="1" applyFont="1" applyBorder="1" applyAlignment="1">
      <alignment horizontal="left" vertical="center" wrapText="1"/>
    </xf>
    <xf numFmtId="0" fontId="5" fillId="0" borderId="23" xfId="0" applyFont="1" applyBorder="1" applyAlignment="1">
      <alignment horizontal="left" vertical="center"/>
    </xf>
    <xf numFmtId="0" fontId="6" fillId="0" borderId="23" xfId="0" applyFont="1" applyBorder="1" applyAlignment="1">
      <alignment horizontal="left" vertical="center" wrapText="1"/>
    </xf>
    <xf numFmtId="0" fontId="21" fillId="0" borderId="1" xfId="0" applyFont="1" applyBorder="1" applyAlignment="1">
      <alignment horizontal="left" vertical="center" wrapText="1"/>
    </xf>
    <xf numFmtId="0" fontId="23" fillId="0" borderId="1" xfId="0" applyFont="1" applyBorder="1" applyAlignment="1">
      <alignment horizontal="left" vertical="center" wrapText="1"/>
    </xf>
    <xf numFmtId="0" fontId="23" fillId="0" borderId="0" xfId="0" applyFont="1" applyAlignment="1">
      <alignment vertical="center" wrapText="1"/>
    </xf>
    <xf numFmtId="0" fontId="10" fillId="0" borderId="1" xfId="0" applyFont="1" applyBorder="1" applyAlignment="1">
      <alignment horizontal="left" vertical="center" wrapText="1"/>
    </xf>
    <xf numFmtId="0" fontId="7" fillId="12" borderId="1" xfId="0" applyFont="1" applyFill="1" applyBorder="1" applyAlignment="1">
      <alignment horizontal="left" vertical="center"/>
    </xf>
    <xf numFmtId="0" fontId="5" fillId="12" borderId="1" xfId="0" applyFont="1" applyFill="1" applyBorder="1" applyAlignment="1">
      <alignment horizontal="left" vertical="center" wrapText="1"/>
    </xf>
    <xf numFmtId="0" fontId="5" fillId="4" borderId="1" xfId="0" applyFont="1" applyFill="1" applyBorder="1" applyAlignment="1">
      <alignment horizontal="left" vertical="center" wrapText="1"/>
    </xf>
    <xf numFmtId="176" fontId="23" fillId="0" borderId="1" xfId="0" applyNumberFormat="1" applyFont="1" applyBorder="1" applyAlignment="1">
      <alignment horizontal="left" vertical="center" wrapText="1"/>
    </xf>
    <xf numFmtId="0" fontId="23" fillId="0" borderId="1" xfId="0" applyFont="1" applyBorder="1" applyAlignment="1">
      <alignment horizontal="left" vertical="center"/>
    </xf>
    <xf numFmtId="0" fontId="26" fillId="0" borderId="1" xfId="0" applyFont="1" applyBorder="1" applyAlignment="1">
      <alignment horizontal="left" vertical="center" wrapText="1"/>
    </xf>
    <xf numFmtId="0" fontId="27" fillId="12" borderId="1" xfId="0" applyFont="1" applyFill="1" applyBorder="1" applyAlignment="1">
      <alignment horizontal="left" vertical="center"/>
    </xf>
    <xf numFmtId="0" fontId="27" fillId="0" borderId="1" xfId="0" applyFont="1" applyBorder="1" applyAlignment="1">
      <alignment horizontal="left" vertical="center"/>
    </xf>
    <xf numFmtId="0" fontId="23" fillId="12" borderId="1" xfId="0" applyFont="1" applyFill="1" applyBorder="1" applyAlignment="1">
      <alignment horizontal="left" vertical="center" wrapText="1"/>
    </xf>
    <xf numFmtId="176" fontId="5" fillId="6" borderId="1" xfId="0" applyNumberFormat="1" applyFont="1" applyFill="1" applyBorder="1" applyAlignment="1">
      <alignment horizontal="left" vertical="center" wrapText="1"/>
    </xf>
    <xf numFmtId="0" fontId="5" fillId="4" borderId="1" xfId="0" applyFont="1" applyFill="1" applyBorder="1" applyAlignment="1">
      <alignment horizontal="left" vertical="center"/>
    </xf>
    <xf numFmtId="0" fontId="6" fillId="4" borderId="1" xfId="0" applyFont="1" applyFill="1" applyBorder="1" applyAlignment="1">
      <alignment horizontal="left" vertical="center" wrapText="1"/>
    </xf>
    <xf numFmtId="0" fontId="7" fillId="4" borderId="1" xfId="0" applyFont="1" applyFill="1" applyBorder="1" applyAlignment="1">
      <alignment horizontal="left" vertical="center"/>
    </xf>
    <xf numFmtId="176" fontId="10" fillId="6" borderId="1" xfId="0" applyNumberFormat="1" applyFont="1" applyFill="1" applyBorder="1" applyAlignment="1">
      <alignment horizontal="left" vertical="center" wrapText="1"/>
    </xf>
    <xf numFmtId="0" fontId="23" fillId="4" borderId="1" xfId="0" applyFont="1" applyFill="1" applyBorder="1" applyAlignment="1">
      <alignment horizontal="left" vertical="center" wrapText="1"/>
    </xf>
    <xf numFmtId="176" fontId="23" fillId="6" borderId="1" xfId="0" applyNumberFormat="1" applyFont="1" applyFill="1" applyBorder="1" applyAlignment="1">
      <alignment horizontal="left" vertical="center" wrapText="1"/>
    </xf>
    <xf numFmtId="0" fontId="23" fillId="4" borderId="1" xfId="0" applyFont="1" applyFill="1" applyBorder="1" applyAlignment="1">
      <alignment horizontal="left" vertical="center"/>
    </xf>
    <xf numFmtId="0" fontId="23" fillId="6" borderId="1" xfId="0" applyFont="1" applyFill="1" applyBorder="1" applyAlignment="1">
      <alignment horizontal="left" vertical="center" wrapText="1"/>
    </xf>
    <xf numFmtId="0" fontId="26" fillId="4" borderId="1" xfId="0" applyFont="1" applyFill="1" applyBorder="1" applyAlignment="1">
      <alignment horizontal="left" vertical="center" wrapText="1"/>
    </xf>
    <xf numFmtId="0" fontId="27" fillId="4" borderId="1" xfId="0" applyFont="1" applyFill="1" applyBorder="1" applyAlignment="1">
      <alignment horizontal="left" vertical="center"/>
    </xf>
    <xf numFmtId="0" fontId="5" fillId="4" borderId="76" xfId="0" applyFont="1" applyFill="1" applyBorder="1" applyAlignment="1">
      <alignment horizontal="left" vertical="center" wrapText="1"/>
    </xf>
    <xf numFmtId="176" fontId="5" fillId="6" borderId="76" xfId="0" applyNumberFormat="1" applyFont="1" applyFill="1" applyBorder="1" applyAlignment="1">
      <alignment horizontal="left" vertical="center" wrapText="1"/>
    </xf>
    <xf numFmtId="0" fontId="5" fillId="4" borderId="76" xfId="0" applyFont="1" applyFill="1" applyBorder="1" applyAlignment="1">
      <alignment horizontal="left" vertical="center"/>
    </xf>
    <xf numFmtId="0" fontId="5" fillId="6" borderId="76" xfId="0" applyFont="1" applyFill="1" applyBorder="1" applyAlignment="1">
      <alignment horizontal="left" vertical="center" wrapText="1"/>
    </xf>
    <xf numFmtId="0" fontId="6" fillId="4" borderId="76" xfId="0" applyFont="1" applyFill="1" applyBorder="1" applyAlignment="1">
      <alignment horizontal="left" vertical="center" wrapText="1"/>
    </xf>
    <xf numFmtId="0" fontId="7" fillId="4" borderId="76" xfId="0" applyFont="1" applyFill="1" applyBorder="1" applyAlignment="1">
      <alignment horizontal="left" vertical="center"/>
    </xf>
    <xf numFmtId="0" fontId="5" fillId="0" borderId="76" xfId="0" applyFont="1" applyBorder="1" applyAlignment="1">
      <alignment horizontal="left" vertical="center" wrapText="1"/>
    </xf>
    <xf numFmtId="176" fontId="5" fillId="0" borderId="76" xfId="0" applyNumberFormat="1" applyFont="1" applyBorder="1" applyAlignment="1">
      <alignment horizontal="left" vertical="center" wrapText="1"/>
    </xf>
    <xf numFmtId="0" fontId="66" fillId="0" borderId="76" xfId="0" applyFont="1" applyBorder="1" applyAlignment="1">
      <alignment horizontal="left" vertical="center" wrapText="1"/>
    </xf>
    <xf numFmtId="0" fontId="6" fillId="0" borderId="76" xfId="0" applyFont="1" applyBorder="1" applyAlignment="1">
      <alignment horizontal="left" vertical="center" wrapText="1"/>
    </xf>
    <xf numFmtId="0" fontId="7" fillId="0" borderId="76" xfId="0" applyFont="1" applyBorder="1" applyAlignment="1">
      <alignment horizontal="left" vertical="center"/>
    </xf>
    <xf numFmtId="0" fontId="67" fillId="18" borderId="2" xfId="0" applyFont="1" applyFill="1" applyBorder="1" applyAlignment="1">
      <alignment horizontal="center" vertical="center" wrapText="1"/>
    </xf>
    <xf numFmtId="0" fontId="1" fillId="18" borderId="1" xfId="0" applyFont="1" applyFill="1" applyBorder="1" applyAlignment="1">
      <alignment horizontal="center" vertical="center" wrapText="1"/>
    </xf>
    <xf numFmtId="0" fontId="1" fillId="0" borderId="0" xfId="0" applyFont="1" applyAlignment="1">
      <alignment horizontal="center" vertical="center"/>
    </xf>
    <xf numFmtId="0" fontId="67" fillId="0" borderId="0" xfId="0" applyFont="1">
      <alignment vertical="center"/>
    </xf>
    <xf numFmtId="0" fontId="68" fillId="0" borderId="0" xfId="0" applyFont="1">
      <alignment vertical="center"/>
    </xf>
    <xf numFmtId="0" fontId="69" fillId="6" borderId="1" xfId="0" applyFont="1" applyFill="1" applyBorder="1" applyAlignment="1">
      <alignment vertical="center" wrapText="1"/>
    </xf>
    <xf numFmtId="0" fontId="70" fillId="16" borderId="87" xfId="0" applyFont="1" applyFill="1" applyBorder="1" applyAlignment="1">
      <alignment vertical="center" wrapText="1"/>
    </xf>
    <xf numFmtId="0" fontId="70" fillId="16" borderId="88" xfId="0" applyFont="1" applyFill="1" applyBorder="1" applyAlignment="1">
      <alignment vertical="center" wrapText="1"/>
    </xf>
    <xf numFmtId="0" fontId="71" fillId="0" borderId="0" xfId="0" applyFont="1" applyAlignment="1">
      <alignment vertical="center" wrapText="1"/>
    </xf>
    <xf numFmtId="0" fontId="72" fillId="0" borderId="0" xfId="0" applyFont="1" applyAlignment="1">
      <alignment vertical="center" wrapText="1"/>
    </xf>
    <xf numFmtId="0" fontId="70" fillId="16" borderId="89" xfId="0" applyFont="1" applyFill="1" applyBorder="1" applyAlignment="1">
      <alignment vertical="center" wrapText="1"/>
    </xf>
    <xf numFmtId="0" fontId="1" fillId="19" borderId="9" xfId="0" applyFont="1" applyFill="1" applyBorder="1" applyAlignment="1">
      <alignment vertical="center" wrapText="1"/>
    </xf>
    <xf numFmtId="0" fontId="1" fillId="19" borderId="53" xfId="0" applyFont="1" applyFill="1" applyBorder="1" applyAlignment="1">
      <alignment vertical="center" wrapText="1"/>
    </xf>
    <xf numFmtId="0" fontId="1" fillId="19" borderId="1" xfId="0" applyFont="1" applyFill="1" applyBorder="1" applyAlignment="1">
      <alignment vertical="center" wrapText="1"/>
    </xf>
    <xf numFmtId="0" fontId="68" fillId="6" borderId="1" xfId="0" applyFont="1" applyFill="1" applyBorder="1" applyAlignment="1">
      <alignment vertical="center" wrapText="1"/>
    </xf>
    <xf numFmtId="0" fontId="69" fillId="6" borderId="1" xfId="0" applyFont="1" applyFill="1" applyBorder="1">
      <alignment vertical="center"/>
    </xf>
    <xf numFmtId="0" fontId="1" fillId="19" borderId="1" xfId="0" applyFont="1" applyFill="1" applyBorder="1">
      <alignment vertical="center"/>
    </xf>
    <xf numFmtId="0" fontId="70" fillId="16" borderId="90" xfId="0" applyFont="1" applyFill="1" applyBorder="1" applyAlignment="1">
      <alignment vertical="center" wrapText="1"/>
    </xf>
    <xf numFmtId="0" fontId="70" fillId="16" borderId="1" xfId="0" applyFont="1" applyFill="1" applyBorder="1" applyAlignment="1">
      <alignment vertical="center" wrapText="1"/>
    </xf>
    <xf numFmtId="0" fontId="73" fillId="20" borderId="91" xfId="0" applyFont="1" applyFill="1" applyBorder="1" applyAlignment="1">
      <alignment vertical="center" wrapText="1"/>
    </xf>
    <xf numFmtId="0" fontId="68" fillId="0" borderId="1" xfId="0" applyFont="1" applyBorder="1">
      <alignment vertical="center"/>
    </xf>
    <xf numFmtId="0" fontId="67" fillId="18" borderId="1" xfId="0" applyFont="1" applyFill="1" applyBorder="1" applyAlignment="1">
      <alignment horizontal="center" vertical="center" wrapText="1"/>
    </xf>
    <xf numFmtId="0" fontId="68" fillId="0" borderId="1" xfId="0" applyFont="1" applyBorder="1" applyAlignment="1">
      <alignment vertical="center" wrapText="1"/>
    </xf>
    <xf numFmtId="0" fontId="69" fillId="6" borderId="27" xfId="0" applyFont="1" applyFill="1" applyBorder="1" applyAlignment="1">
      <alignment vertical="center" wrapText="1"/>
    </xf>
    <xf numFmtId="0" fontId="69" fillId="6" borderId="7" xfId="0" applyFont="1" applyFill="1" applyBorder="1" applyAlignment="1">
      <alignment vertical="center" wrapText="1"/>
    </xf>
    <xf numFmtId="0" fontId="70" fillId="16" borderId="92" xfId="0" applyFont="1" applyFill="1" applyBorder="1" applyAlignment="1">
      <alignment vertical="center" wrapText="1"/>
    </xf>
    <xf numFmtId="0" fontId="68" fillId="0" borderId="7" xfId="0" applyFont="1" applyBorder="1" applyAlignment="1">
      <alignment vertical="center" wrapText="1"/>
    </xf>
    <xf numFmtId="0" fontId="69" fillId="6" borderId="53" xfId="0" applyFont="1" applyFill="1" applyBorder="1" applyAlignment="1">
      <alignment vertical="center" wrapText="1"/>
    </xf>
    <xf numFmtId="0" fontId="74" fillId="0" borderId="1" xfId="0" applyFont="1" applyBorder="1" applyAlignment="1">
      <alignment vertical="center" wrapText="1"/>
    </xf>
    <xf numFmtId="0" fontId="70" fillId="16" borderId="93" xfId="0" applyFont="1" applyFill="1" applyBorder="1" applyAlignment="1">
      <alignment vertical="center" wrapText="1"/>
    </xf>
    <xf numFmtId="0" fontId="69" fillId="6" borderId="2" xfId="0" applyFont="1" applyFill="1" applyBorder="1" applyAlignment="1">
      <alignment vertical="center" wrapText="1"/>
    </xf>
    <xf numFmtId="0" fontId="68" fillId="0" borderId="0" xfId="0" applyFont="1" applyAlignment="1">
      <alignment vertical="center" wrapText="1"/>
    </xf>
    <xf numFmtId="0" fontId="70" fillId="16" borderId="7" xfId="0" applyFont="1" applyFill="1" applyBorder="1" applyAlignment="1">
      <alignment vertical="center" wrapText="1"/>
    </xf>
    <xf numFmtId="0" fontId="69" fillId="6" borderId="7" xfId="0" applyFont="1" applyFill="1" applyBorder="1">
      <alignment vertical="center"/>
    </xf>
    <xf numFmtId="0" fontId="70" fillId="16" borderId="10" xfId="0" applyFont="1" applyFill="1" applyBorder="1" applyAlignment="1">
      <alignment vertical="center" wrapText="1"/>
    </xf>
    <xf numFmtId="0" fontId="3" fillId="18" borderId="1" xfId="0" applyFont="1" applyFill="1" applyBorder="1" applyAlignment="1">
      <alignment horizontal="center" vertical="center" wrapText="1"/>
    </xf>
    <xf numFmtId="0" fontId="68" fillId="6" borderId="7" xfId="0" applyFont="1" applyFill="1" applyBorder="1">
      <alignment vertical="center"/>
    </xf>
    <xf numFmtId="0" fontId="68" fillId="6" borderId="1" xfId="0" applyFont="1" applyFill="1" applyBorder="1">
      <alignment vertical="center"/>
    </xf>
    <xf numFmtId="0" fontId="75" fillId="21" borderId="1" xfId="0" applyFont="1" applyFill="1" applyBorder="1">
      <alignment vertical="center"/>
    </xf>
    <xf numFmtId="0" fontId="1" fillId="3" borderId="70" xfId="0" applyFont="1" applyFill="1" applyBorder="1" applyAlignment="1">
      <alignment horizontal="center" vertical="center" wrapText="1"/>
    </xf>
    <xf numFmtId="0" fontId="7" fillId="0" borderId="5" xfId="0" applyFont="1" applyBorder="1">
      <alignment vertical="center"/>
    </xf>
    <xf numFmtId="0" fontId="21" fillId="0" borderId="11" xfId="0" applyFont="1" applyBorder="1" applyAlignment="1">
      <alignment vertical="center" wrapText="1"/>
    </xf>
    <xf numFmtId="0" fontId="21" fillId="0" borderId="94" xfId="0" applyFont="1" applyBorder="1" applyAlignment="1">
      <alignment vertical="center" wrapText="1"/>
    </xf>
    <xf numFmtId="0" fontId="0" fillId="12" borderId="0" xfId="0" applyFill="1">
      <alignment vertical="center"/>
    </xf>
    <xf numFmtId="0" fontId="0" fillId="0" borderId="99" xfId="0" applyBorder="1">
      <alignment vertical="center"/>
    </xf>
    <xf numFmtId="14" fontId="0" fillId="0" borderId="99" xfId="0" applyNumberFormat="1" applyBorder="1">
      <alignment vertical="center"/>
    </xf>
    <xf numFmtId="0" fontId="0" fillId="0" borderId="100" xfId="0" applyBorder="1">
      <alignment vertical="center"/>
    </xf>
    <xf numFmtId="0" fontId="76" fillId="0" borderId="1" xfId="0" applyFont="1" applyBorder="1">
      <alignment vertical="center"/>
    </xf>
    <xf numFmtId="0" fontId="72" fillId="0" borderId="1" xfId="0" applyFont="1" applyBorder="1">
      <alignment vertical="center"/>
    </xf>
    <xf numFmtId="0" fontId="77" fillId="0" borderId="1" xfId="0" applyFont="1" applyBorder="1">
      <alignment vertical="center"/>
    </xf>
    <xf numFmtId="0" fontId="0" fillId="0" borderId="101" xfId="0" applyBorder="1">
      <alignment vertical="center"/>
    </xf>
    <xf numFmtId="10" fontId="59" fillId="0" borderId="9" xfId="0" applyNumberFormat="1" applyFont="1" applyBorder="1" applyAlignment="1">
      <alignment horizontal="right" vertical="center"/>
    </xf>
    <xf numFmtId="10" fontId="59" fillId="0" borderId="99" xfId="0" applyNumberFormat="1" applyFont="1" applyBorder="1" applyAlignment="1">
      <alignment horizontal="right" vertical="center"/>
    </xf>
    <xf numFmtId="0" fontId="0" fillId="9" borderId="102" xfId="0" applyFill="1" applyBorder="1">
      <alignment vertical="center"/>
    </xf>
    <xf numFmtId="0" fontId="0" fillId="9" borderId="103" xfId="0" applyFill="1" applyBorder="1">
      <alignment vertical="center"/>
    </xf>
    <xf numFmtId="10" fontId="59" fillId="9" borderId="104" xfId="0" applyNumberFormat="1" applyFont="1" applyFill="1" applyBorder="1" applyAlignment="1">
      <alignment horizontal="right" vertical="center"/>
    </xf>
    <xf numFmtId="0" fontId="0" fillId="9" borderId="105" xfId="0" applyFill="1" applyBorder="1">
      <alignment vertical="center"/>
    </xf>
    <xf numFmtId="0" fontId="0" fillId="0" borderId="106" xfId="0" applyBorder="1">
      <alignment vertical="center"/>
    </xf>
    <xf numFmtId="0" fontId="76" fillId="0" borderId="7" xfId="0" applyFont="1" applyBorder="1">
      <alignment vertical="center"/>
    </xf>
    <xf numFmtId="0" fontId="72" fillId="0" borderId="7" xfId="0" applyFont="1" applyBorder="1">
      <alignment vertical="center"/>
    </xf>
    <xf numFmtId="0" fontId="77" fillId="0" borderId="7" xfId="0" applyFont="1" applyBorder="1">
      <alignment vertical="center"/>
    </xf>
    <xf numFmtId="0" fontId="0" fillId="0" borderId="8" xfId="0" applyBorder="1">
      <alignment vertical="center"/>
    </xf>
    <xf numFmtId="0" fontId="0" fillId="0" borderId="107" xfId="0" applyBorder="1">
      <alignment vertical="center"/>
    </xf>
    <xf numFmtId="0" fontId="0" fillId="0" borderId="108" xfId="0" applyBorder="1">
      <alignment vertical="center"/>
    </xf>
    <xf numFmtId="0" fontId="0" fillId="0" borderId="109" xfId="0" applyBorder="1">
      <alignment vertical="center"/>
    </xf>
    <xf numFmtId="0" fontId="0" fillId="9" borderId="104" xfId="0" applyFill="1" applyBorder="1">
      <alignment vertical="center"/>
    </xf>
    <xf numFmtId="10" fontId="59" fillId="9" borderId="103" xfId="0" applyNumberFormat="1" applyFont="1" applyFill="1" applyBorder="1" applyAlignment="1">
      <alignment horizontal="right" vertical="center"/>
    </xf>
    <xf numFmtId="10" fontId="59" fillId="0" borderId="101" xfId="0" applyNumberFormat="1" applyFont="1" applyBorder="1" applyAlignment="1">
      <alignment horizontal="right" vertical="center"/>
    </xf>
    <xf numFmtId="10" fontId="59" fillId="9" borderId="105" xfId="0" applyNumberFormat="1" applyFont="1" applyFill="1" applyBorder="1" applyAlignment="1">
      <alignment horizontal="right" vertical="center"/>
    </xf>
    <xf numFmtId="0" fontId="14" fillId="3" borderId="1" xfId="0" applyFont="1" applyFill="1" applyBorder="1" applyAlignment="1">
      <alignment horizontal="center" vertical="center" wrapText="1"/>
    </xf>
    <xf numFmtId="0" fontId="22" fillId="4" borderId="7" xfId="0" applyFont="1" applyFill="1" applyBorder="1">
      <alignment vertical="center"/>
    </xf>
    <xf numFmtId="0" fontId="19" fillId="0" borderId="8" xfId="0" applyFont="1" applyBorder="1" applyAlignment="1">
      <alignment vertical="center" wrapText="1"/>
    </xf>
    <xf numFmtId="0" fontId="5" fillId="0" borderId="110" xfId="0" applyFont="1" applyBorder="1">
      <alignment vertical="center"/>
    </xf>
    <xf numFmtId="0" fontId="41" fillId="0" borderId="1" xfId="0" applyFont="1" applyBorder="1">
      <alignment vertical="center"/>
    </xf>
    <xf numFmtId="0" fontId="41" fillId="0" borderId="9" xfId="0" applyFont="1" applyBorder="1" applyAlignment="1">
      <alignment vertical="center" wrapText="1"/>
    </xf>
    <xf numFmtId="0" fontId="31" fillId="0" borderId="9" xfId="0" applyFont="1" applyBorder="1" applyAlignment="1">
      <alignment vertical="center" wrapText="1"/>
    </xf>
    <xf numFmtId="0" fontId="19" fillId="0" borderId="10" xfId="0" applyFont="1" applyBorder="1" applyAlignment="1">
      <alignment vertical="center" wrapText="1"/>
    </xf>
    <xf numFmtId="0" fontId="7" fillId="0" borderId="3" xfId="0" applyFont="1" applyBorder="1">
      <alignment vertical="center"/>
    </xf>
    <xf numFmtId="0" fontId="78" fillId="0" borderId="1" xfId="0" applyFont="1" applyBorder="1">
      <alignment vertical="center"/>
    </xf>
    <xf numFmtId="0" fontId="41" fillId="0" borderId="7" xfId="0" applyFont="1" applyBorder="1" applyAlignment="1">
      <alignment vertical="center" wrapText="1"/>
    </xf>
    <xf numFmtId="0" fontId="36" fillId="0" borderId="27" xfId="0" applyFont="1" applyBorder="1">
      <alignment vertical="center"/>
    </xf>
    <xf numFmtId="0" fontId="36" fillId="0" borderId="7" xfId="0" applyFont="1" applyBorder="1" applyAlignment="1">
      <alignment vertical="center" wrapText="1"/>
    </xf>
    <xf numFmtId="0" fontId="41" fillId="0" borderId="7" xfId="0" applyFont="1" applyBorder="1">
      <alignment vertical="center"/>
    </xf>
    <xf numFmtId="0" fontId="36" fillId="0" borderId="9" xfId="0" applyFont="1" applyBorder="1" applyAlignment="1">
      <alignment vertical="center" wrapText="1"/>
    </xf>
    <xf numFmtId="0" fontId="34" fillId="0" borderId="8" xfId="0" applyFont="1" applyBorder="1" applyAlignment="1">
      <alignment vertical="center" wrapText="1"/>
    </xf>
    <xf numFmtId="0" fontId="31" fillId="0" borderId="27" xfId="0" applyFont="1" applyBorder="1">
      <alignment vertical="center"/>
    </xf>
    <xf numFmtId="0" fontId="41" fillId="0" borderId="27" xfId="0" applyFont="1" applyBorder="1">
      <alignment vertical="center"/>
    </xf>
    <xf numFmtId="0" fontId="36" fillId="0" borderId="8" xfId="0" applyFont="1" applyBorder="1" applyAlignment="1">
      <alignment vertical="center" wrapText="1"/>
    </xf>
    <xf numFmtId="0" fontId="23" fillId="0" borderId="110" xfId="0" applyFont="1" applyBorder="1">
      <alignment vertical="center"/>
    </xf>
    <xf numFmtId="0" fontId="21" fillId="0" borderId="24" xfId="0" applyFont="1" applyBorder="1">
      <alignment vertical="center"/>
    </xf>
    <xf numFmtId="0" fontId="5" fillId="0" borderId="5" xfId="0" applyFont="1" applyBorder="1" applyAlignment="1">
      <alignment vertical="center" wrapText="1"/>
    </xf>
    <xf numFmtId="0" fontId="5" fillId="0" borderId="6" xfId="0" applyFont="1" applyBorder="1" applyAlignment="1">
      <alignment vertical="center" wrapText="1"/>
    </xf>
    <xf numFmtId="0" fontId="5" fillId="0" borderId="48" xfId="0" applyFont="1" applyBorder="1" applyAlignment="1">
      <alignment vertical="center" wrapText="1"/>
    </xf>
    <xf numFmtId="0" fontId="21" fillId="0" borderId="27" xfId="0" applyFont="1" applyBorder="1">
      <alignment vertical="center"/>
    </xf>
    <xf numFmtId="0" fontId="8" fillId="0" borderId="111" xfId="0" applyFont="1" applyBorder="1">
      <alignment vertical="center"/>
    </xf>
    <xf numFmtId="0" fontId="5" fillId="0" borderId="27" xfId="0" applyFont="1" applyBorder="1" applyAlignment="1">
      <alignment horizontal="left" vertical="center" wrapText="1"/>
    </xf>
    <xf numFmtId="0" fontId="8" fillId="0" borderId="59" xfId="0" applyFont="1" applyBorder="1">
      <alignment vertical="center"/>
    </xf>
    <xf numFmtId="0" fontId="7" fillId="12" borderId="1" xfId="0" applyFont="1" applyFill="1" applyBorder="1">
      <alignment vertical="center"/>
    </xf>
    <xf numFmtId="0" fontId="7" fillId="0" borderId="112" xfId="0" applyFont="1" applyBorder="1">
      <alignment vertical="center"/>
    </xf>
    <xf numFmtId="0" fontId="7" fillId="12" borderId="5" xfId="0" applyFont="1" applyFill="1" applyBorder="1">
      <alignment vertical="center"/>
    </xf>
    <xf numFmtId="0" fontId="7" fillId="12" borderId="2" xfId="0" applyFont="1" applyFill="1" applyBorder="1">
      <alignment vertical="center"/>
    </xf>
    <xf numFmtId="0" fontId="7" fillId="12" borderId="33" xfId="0" applyFont="1" applyFill="1" applyBorder="1">
      <alignment vertical="center"/>
    </xf>
    <xf numFmtId="0" fontId="7" fillId="12" borderId="69" xfId="0" applyFont="1" applyFill="1" applyBorder="1">
      <alignment vertical="center"/>
    </xf>
    <xf numFmtId="0" fontId="10" fillId="0" borderId="0" xfId="0" applyFont="1" applyAlignment="1">
      <alignment vertical="center" wrapText="1"/>
    </xf>
    <xf numFmtId="0" fontId="7" fillId="4" borderId="0" xfId="0" applyFont="1" applyFill="1">
      <alignment vertical="center"/>
    </xf>
    <xf numFmtId="0" fontId="5" fillId="0" borderId="113" xfId="0" applyFont="1" applyBorder="1" applyAlignment="1">
      <alignment vertical="center" wrapText="1"/>
    </xf>
    <xf numFmtId="0" fontId="21" fillId="4" borderId="1" xfId="0" applyFont="1" applyFill="1" applyBorder="1" applyAlignment="1"/>
    <xf numFmtId="0" fontId="5" fillId="0" borderId="76" xfId="0" applyFont="1" applyBorder="1" applyAlignment="1">
      <alignment vertical="center" wrapText="1"/>
    </xf>
    <xf numFmtId="0" fontId="5" fillId="0" borderId="111" xfId="0" applyFont="1" applyBorder="1" applyAlignment="1">
      <alignment vertical="center" wrapText="1"/>
    </xf>
    <xf numFmtId="0" fontId="8" fillId="0" borderId="114" xfId="0" applyFont="1" applyBorder="1">
      <alignment vertical="center"/>
    </xf>
    <xf numFmtId="0" fontId="5" fillId="0" borderId="110" xfId="0" applyFont="1" applyBorder="1" applyAlignment="1">
      <alignment vertical="center" wrapText="1"/>
    </xf>
    <xf numFmtId="0" fontId="8" fillId="0" borderId="110" xfId="0" applyFont="1" applyBorder="1">
      <alignment vertical="center"/>
    </xf>
    <xf numFmtId="0" fontId="8" fillId="4" borderId="0" xfId="0" applyFont="1" applyFill="1" applyAlignment="1"/>
    <xf numFmtId="0" fontId="8" fillId="4" borderId="0" xfId="0" applyFont="1" applyFill="1">
      <alignment vertical="center"/>
    </xf>
    <xf numFmtId="0" fontId="7" fillId="22" borderId="116" xfId="0" applyFont="1" applyFill="1" applyBorder="1">
      <alignment vertical="center"/>
    </xf>
    <xf numFmtId="14" fontId="8" fillId="0" borderId="118" xfId="0" applyNumberFormat="1" applyFont="1" applyBorder="1">
      <alignment vertical="center"/>
    </xf>
    <xf numFmtId="0" fontId="8" fillId="0" borderId="118" xfId="0" applyFont="1" applyBorder="1">
      <alignment vertical="center"/>
    </xf>
    <xf numFmtId="0" fontId="5" fillId="0" borderId="100" xfId="0" applyFont="1" applyBorder="1">
      <alignment vertical="center"/>
    </xf>
    <xf numFmtId="0" fontId="79" fillId="6" borderId="1" xfId="0" applyFont="1" applyFill="1" applyBorder="1">
      <alignment vertical="center"/>
    </xf>
    <xf numFmtId="0" fontId="52" fillId="6" borderId="1" xfId="0" applyFont="1" applyFill="1" applyBorder="1">
      <alignment vertical="center"/>
    </xf>
    <xf numFmtId="0" fontId="80" fillId="6" borderId="1" xfId="0" applyFont="1" applyFill="1" applyBorder="1">
      <alignment vertical="center"/>
    </xf>
    <xf numFmtId="0" fontId="81" fillId="6" borderId="1" xfId="0" applyFont="1" applyFill="1" applyBorder="1">
      <alignment vertical="center"/>
    </xf>
    <xf numFmtId="0" fontId="79" fillId="6" borderId="119" xfId="0" applyFont="1" applyFill="1" applyBorder="1">
      <alignment vertical="center"/>
    </xf>
    <xf numFmtId="0" fontId="52" fillId="6" borderId="12" xfId="0" applyFont="1" applyFill="1" applyBorder="1">
      <alignment vertical="center"/>
    </xf>
    <xf numFmtId="0" fontId="81" fillId="6" borderId="12" xfId="0" applyFont="1" applyFill="1" applyBorder="1">
      <alignment vertical="center"/>
    </xf>
    <xf numFmtId="0" fontId="5" fillId="6" borderId="12" xfId="0" applyFont="1" applyFill="1" applyBorder="1">
      <alignment vertical="center"/>
    </xf>
    <xf numFmtId="0" fontId="5" fillId="0" borderId="101" xfId="0" applyFont="1" applyBorder="1">
      <alignment vertical="center"/>
    </xf>
    <xf numFmtId="0" fontId="7" fillId="22" borderId="120" xfId="0" applyFont="1" applyFill="1" applyBorder="1">
      <alignment vertical="center"/>
    </xf>
    <xf numFmtId="0" fontId="79" fillId="0" borderId="1" xfId="0" applyFont="1" applyBorder="1">
      <alignment vertical="center"/>
    </xf>
    <xf numFmtId="0" fontId="52" fillId="0" borderId="1" xfId="0" applyFont="1" applyBorder="1">
      <alignment vertical="center"/>
    </xf>
    <xf numFmtId="0" fontId="80" fillId="0" borderId="1" xfId="0" applyFont="1" applyBorder="1">
      <alignment vertical="center"/>
    </xf>
    <xf numFmtId="0" fontId="81" fillId="0" borderId="1" xfId="0" applyFont="1" applyBorder="1">
      <alignment vertical="center"/>
    </xf>
    <xf numFmtId="10" fontId="79" fillId="0" borderId="119" xfId="0" applyNumberFormat="1" applyFont="1" applyBorder="1" applyAlignment="1">
      <alignment horizontal="right" vertical="center"/>
    </xf>
    <xf numFmtId="10" fontId="52" fillId="0" borderId="12" xfId="0" applyNumberFormat="1" applyFont="1" applyBorder="1" applyAlignment="1">
      <alignment horizontal="right" vertical="center"/>
    </xf>
    <xf numFmtId="10" fontId="81" fillId="0" borderId="12" xfId="0" applyNumberFormat="1" applyFont="1" applyBorder="1" applyAlignment="1">
      <alignment horizontal="right" vertical="center"/>
    </xf>
    <xf numFmtId="10" fontId="82" fillId="0" borderId="12" xfId="0" applyNumberFormat="1" applyFont="1" applyBorder="1" applyAlignment="1">
      <alignment horizontal="right" vertical="center"/>
    </xf>
    <xf numFmtId="10" fontId="59" fillId="23" borderId="117" xfId="0" applyNumberFormat="1" applyFont="1" applyFill="1" applyBorder="1" applyAlignment="1">
      <alignment horizontal="right" vertical="center"/>
    </xf>
    <xf numFmtId="10" fontId="82" fillId="0" borderId="118" xfId="0" applyNumberFormat="1" applyFont="1" applyBorder="1" applyAlignment="1">
      <alignment horizontal="right" vertical="center"/>
    </xf>
    <xf numFmtId="0" fontId="7" fillId="22" borderId="122" xfId="0" applyFont="1" applyFill="1" applyBorder="1">
      <alignment vertical="center"/>
    </xf>
    <xf numFmtId="0" fontId="57" fillId="0" borderId="123" xfId="0" applyFont="1" applyBorder="1">
      <alignment vertical="center"/>
    </xf>
    <xf numFmtId="0" fontId="83" fillId="0" borderId="124" xfId="0" applyFont="1" applyBorder="1">
      <alignment vertical="center"/>
    </xf>
    <xf numFmtId="0" fontId="84" fillId="0" borderId="125" xfId="0" applyFont="1" applyBorder="1">
      <alignment vertical="center"/>
    </xf>
    <xf numFmtId="10" fontId="84" fillId="0" borderId="125" xfId="0" applyNumberFormat="1" applyFont="1" applyBorder="1" applyAlignment="1">
      <alignment horizontal="left" vertical="center"/>
    </xf>
    <xf numFmtId="0" fontId="79" fillId="0" borderId="1" xfId="0" applyFont="1" applyBorder="1" applyAlignment="1">
      <alignment horizontal="right" vertical="center"/>
    </xf>
    <xf numFmtId="0" fontId="5" fillId="9" borderId="102" xfId="0" applyFont="1" applyFill="1" applyBorder="1">
      <alignment vertical="center"/>
    </xf>
    <xf numFmtId="0" fontId="79" fillId="9" borderId="103" xfId="0" applyFont="1" applyFill="1" applyBorder="1">
      <alignment vertical="center"/>
    </xf>
    <xf numFmtId="0" fontId="52" fillId="9" borderId="103" xfId="0" applyFont="1" applyFill="1" applyBorder="1">
      <alignment vertical="center"/>
    </xf>
    <xf numFmtId="0" fontId="80" fillId="9" borderId="103" xfId="0" applyFont="1" applyFill="1" applyBorder="1">
      <alignment vertical="center"/>
    </xf>
    <xf numFmtId="0" fontId="5" fillId="9" borderId="103" xfId="0" applyFont="1" applyFill="1" applyBorder="1">
      <alignment vertical="center"/>
    </xf>
    <xf numFmtId="0" fontId="5" fillId="9" borderId="104" xfId="0" applyFont="1" applyFill="1" applyBorder="1">
      <alignment vertical="center"/>
    </xf>
    <xf numFmtId="10" fontId="79" fillId="9" borderId="126" xfId="0" applyNumberFormat="1" applyFont="1" applyFill="1" applyBorder="1" applyAlignment="1">
      <alignment horizontal="right" vertical="center"/>
    </xf>
    <xf numFmtId="10" fontId="52" fillId="9" borderId="127" xfId="0" applyNumberFormat="1" applyFont="1" applyFill="1" applyBorder="1" applyAlignment="1">
      <alignment horizontal="right" vertical="center"/>
    </xf>
    <xf numFmtId="10" fontId="81" fillId="9" borderId="127" xfId="0" applyNumberFormat="1" applyFont="1" applyFill="1" applyBorder="1" applyAlignment="1">
      <alignment horizontal="right" vertical="center"/>
    </xf>
    <xf numFmtId="10" fontId="82" fillId="9" borderId="127" xfId="0" applyNumberFormat="1" applyFont="1" applyFill="1" applyBorder="1" applyAlignment="1">
      <alignment horizontal="right" vertical="center"/>
    </xf>
    <xf numFmtId="0" fontId="5" fillId="9" borderId="105" xfId="0" applyFont="1" applyFill="1" applyBorder="1">
      <alignment vertical="center"/>
    </xf>
    <xf numFmtId="10" fontId="85" fillId="0" borderId="40" xfId="0" applyNumberFormat="1" applyFont="1" applyBorder="1" applyAlignment="1">
      <alignment horizontal="left" vertical="center"/>
    </xf>
    <xf numFmtId="0" fontId="8" fillId="0" borderId="99" xfId="0" applyFont="1" applyBorder="1">
      <alignment vertical="center"/>
    </xf>
    <xf numFmtId="0" fontId="86" fillId="0" borderId="123" xfId="0" applyFont="1" applyBorder="1">
      <alignment vertical="center"/>
    </xf>
    <xf numFmtId="10" fontId="85" fillId="0" borderId="125" xfId="0" applyNumberFormat="1" applyFont="1" applyBorder="1" applyAlignment="1">
      <alignment horizontal="left" vertical="center"/>
    </xf>
    <xf numFmtId="0" fontId="87" fillId="0" borderId="128" xfId="0" applyFont="1" applyBorder="1">
      <alignment vertical="center"/>
    </xf>
    <xf numFmtId="0" fontId="5" fillId="0" borderId="106" xfId="0" applyFont="1" applyBorder="1">
      <alignment vertical="center"/>
    </xf>
    <xf numFmtId="0" fontId="79" fillId="6" borderId="7" xfId="0" applyFont="1" applyFill="1" applyBorder="1">
      <alignment vertical="center"/>
    </xf>
    <xf numFmtId="0" fontId="10" fillId="6" borderId="7" xfId="0" applyFont="1" applyFill="1" applyBorder="1">
      <alignment vertical="center"/>
    </xf>
    <xf numFmtId="0" fontId="80" fillId="6" borderId="7" xfId="0" applyFont="1" applyFill="1" applyBorder="1">
      <alignment vertical="center"/>
    </xf>
    <xf numFmtId="0" fontId="5" fillId="6" borderId="8" xfId="0" applyFont="1" applyFill="1" applyBorder="1">
      <alignment vertical="center"/>
    </xf>
    <xf numFmtId="0" fontId="5" fillId="0" borderId="129" xfId="0" applyFont="1" applyBorder="1">
      <alignment vertical="center"/>
    </xf>
    <xf numFmtId="0" fontId="87" fillId="0" borderId="130" xfId="0" applyFont="1" applyBorder="1">
      <alignment vertical="center"/>
    </xf>
    <xf numFmtId="0" fontId="57" fillId="0" borderId="118" xfId="0" applyFont="1" applyBorder="1">
      <alignment vertical="center"/>
    </xf>
    <xf numFmtId="0" fontId="10" fillId="0" borderId="1" xfId="0" applyFont="1" applyBorder="1">
      <alignment vertical="center"/>
    </xf>
    <xf numFmtId="10" fontId="79" fillId="0" borderId="131" xfId="0" applyNumberFormat="1" applyFont="1" applyBorder="1" applyAlignment="1">
      <alignment horizontal="right" vertical="center"/>
    </xf>
    <xf numFmtId="10" fontId="82" fillId="0" borderId="1" xfId="0" applyNumberFormat="1" applyFont="1" applyBorder="1" applyAlignment="1">
      <alignment horizontal="right" vertical="center"/>
    </xf>
    <xf numFmtId="0" fontId="5" fillId="0" borderId="108" xfId="0" applyFont="1" applyBorder="1">
      <alignment vertical="center"/>
    </xf>
    <xf numFmtId="0" fontId="87" fillId="0" borderId="118" xfId="0" applyFont="1" applyBorder="1">
      <alignment vertical="center"/>
    </xf>
    <xf numFmtId="0" fontId="81" fillId="0" borderId="12" xfId="0" applyFont="1" applyBorder="1">
      <alignment vertical="center"/>
    </xf>
    <xf numFmtId="10" fontId="79" fillId="9" borderId="132" xfId="0" applyNumberFormat="1" applyFont="1" applyFill="1" applyBorder="1" applyAlignment="1">
      <alignment horizontal="right" vertical="center"/>
    </xf>
    <xf numFmtId="10" fontId="82" fillId="9" borderId="103" xfId="0" applyNumberFormat="1" applyFont="1" applyFill="1" applyBorder="1" applyAlignment="1">
      <alignment horizontal="right" vertical="center"/>
    </xf>
    <xf numFmtId="0" fontId="5" fillId="9" borderId="133" xfId="0" applyFont="1" applyFill="1" applyBorder="1">
      <alignment vertical="center"/>
    </xf>
    <xf numFmtId="0" fontId="5" fillId="0" borderId="9" xfId="0" applyFont="1" applyBorder="1" applyAlignment="1">
      <alignment horizontal="left"/>
    </xf>
    <xf numFmtId="0" fontId="5" fillId="0" borderId="1" xfId="0" applyFont="1" applyBorder="1" applyAlignment="1">
      <alignment wrapText="1"/>
    </xf>
    <xf numFmtId="0" fontId="11" fillId="0" borderId="1" xfId="0" applyFont="1" applyBorder="1">
      <alignment vertical="center"/>
    </xf>
    <xf numFmtId="0" fontId="8" fillId="10" borderId="1" xfId="0" applyFont="1" applyFill="1" applyBorder="1" applyAlignment="1">
      <alignment horizontal="center" vertical="center"/>
    </xf>
    <xf numFmtId="0" fontId="8" fillId="24" borderId="1" xfId="0" applyFont="1" applyFill="1" applyBorder="1" applyAlignment="1">
      <alignment horizontal="center" vertical="center"/>
    </xf>
    <xf numFmtId="0" fontId="8" fillId="9" borderId="1" xfId="0" applyFont="1" applyFill="1" applyBorder="1" applyAlignment="1">
      <alignment horizontal="center" vertical="center"/>
    </xf>
    <xf numFmtId="0" fontId="8" fillId="4" borderId="1" xfId="0" applyFont="1" applyFill="1" applyBorder="1" applyAlignment="1">
      <alignment horizontal="center" vertical="center"/>
    </xf>
    <xf numFmtId="0" fontId="8" fillId="9" borderId="0" xfId="0" applyFont="1" applyFill="1">
      <alignment vertical="center"/>
    </xf>
    <xf numFmtId="0" fontId="5" fillId="8" borderId="7" xfId="0" applyFont="1" applyFill="1" applyBorder="1" applyAlignment="1"/>
    <xf numFmtId="0" fontId="5" fillId="8" borderId="8" xfId="0" applyFont="1" applyFill="1" applyBorder="1" applyAlignment="1"/>
    <xf numFmtId="0" fontId="8" fillId="8" borderId="8" xfId="0" applyFont="1" applyFill="1" applyBorder="1">
      <alignment vertical="center"/>
    </xf>
    <xf numFmtId="0" fontId="8" fillId="25" borderId="7" xfId="0" applyFont="1" applyFill="1" applyBorder="1">
      <alignment vertical="center"/>
    </xf>
    <xf numFmtId="0" fontId="12" fillId="0" borderId="9" xfId="0" applyFont="1" applyBorder="1">
      <alignment vertical="center"/>
    </xf>
    <xf numFmtId="0" fontId="8" fillId="18" borderId="1" xfId="0" applyFont="1" applyFill="1" applyBorder="1" applyAlignment="1">
      <alignment vertical="center" wrapText="1"/>
    </xf>
    <xf numFmtId="0" fontId="8" fillId="18" borderId="1" xfId="0" applyFont="1" applyFill="1" applyBorder="1">
      <alignment vertical="center"/>
    </xf>
    <xf numFmtId="0" fontId="8" fillId="26" borderId="1" xfId="0" applyFont="1" applyFill="1" applyBorder="1">
      <alignment vertical="center"/>
    </xf>
    <xf numFmtId="0" fontId="12" fillId="9" borderId="9" xfId="0" applyFont="1" applyFill="1" applyBorder="1">
      <alignment vertical="center"/>
    </xf>
    <xf numFmtId="0" fontId="10" fillId="9" borderId="9" xfId="0" applyFont="1" applyFill="1" applyBorder="1">
      <alignment vertical="center"/>
    </xf>
    <xf numFmtId="0" fontId="5" fillId="4" borderId="0" xfId="0" applyFont="1" applyFill="1">
      <alignment vertical="center"/>
    </xf>
    <xf numFmtId="0" fontId="5" fillId="4" borderId="23" xfId="0" applyFont="1" applyFill="1" applyBorder="1" applyAlignment="1">
      <alignment horizontal="left" vertical="center"/>
    </xf>
    <xf numFmtId="0" fontId="23" fillId="0" borderId="23" xfId="0" applyFont="1" applyBorder="1" applyAlignment="1">
      <alignment horizontal="left" vertical="center"/>
    </xf>
    <xf numFmtId="0" fontId="5" fillId="12" borderId="1" xfId="0" applyFont="1" applyFill="1" applyBorder="1" applyAlignment="1">
      <alignment horizontal="left" vertical="center"/>
    </xf>
    <xf numFmtId="0" fontId="24" fillId="0" borderId="1" xfId="0" applyFont="1" applyBorder="1" applyAlignment="1">
      <alignment horizontal="left" vertical="center"/>
    </xf>
    <xf numFmtId="0" fontId="24" fillId="0" borderId="1" xfId="0" applyFont="1" applyBorder="1" applyAlignment="1">
      <alignment horizontal="left" vertical="center" wrapText="1"/>
    </xf>
    <xf numFmtId="176" fontId="5" fillId="0" borderId="1" xfId="0" applyNumberFormat="1" applyFont="1" applyBorder="1" applyAlignment="1">
      <alignment horizontal="left" vertical="center"/>
    </xf>
    <xf numFmtId="0" fontId="8" fillId="0" borderId="1" xfId="0" applyFont="1" applyBorder="1" applyAlignment="1">
      <alignment horizontal="left" vertical="center"/>
    </xf>
    <xf numFmtId="0" fontId="5" fillId="0" borderId="0" xfId="0" applyFont="1" applyAlignment="1">
      <alignment horizontal="center" vertical="center"/>
    </xf>
    <xf numFmtId="176" fontId="5" fillId="0" borderId="0" xfId="0" applyNumberFormat="1" applyFont="1" applyAlignment="1">
      <alignment horizontal="left" vertical="center" wrapText="1"/>
    </xf>
    <xf numFmtId="176" fontId="5" fillId="0" borderId="0" xfId="0" applyNumberFormat="1" applyFont="1" applyAlignment="1">
      <alignment vertical="center" wrapText="1"/>
    </xf>
    <xf numFmtId="0" fontId="5" fillId="0" borderId="99" xfId="0" applyFont="1" applyBorder="1">
      <alignment vertical="center"/>
    </xf>
    <xf numFmtId="0" fontId="8" fillId="19" borderId="141" xfId="0" applyFont="1" applyFill="1" applyBorder="1" applyAlignment="1">
      <alignment horizontal="center" vertical="center" wrapText="1"/>
    </xf>
    <xf numFmtId="0" fontId="8" fillId="19" borderId="111" xfId="0" applyFont="1" applyFill="1" applyBorder="1" applyAlignment="1">
      <alignment horizontal="center" vertical="center" wrapText="1"/>
    </xf>
    <xf numFmtId="0" fontId="8" fillId="19" borderId="111" xfId="0" applyFont="1" applyFill="1" applyBorder="1" applyAlignment="1">
      <alignment horizontal="center" vertical="center"/>
    </xf>
    <xf numFmtId="0" fontId="8" fillId="19" borderId="110" xfId="0" applyFont="1" applyFill="1" applyBorder="1" applyAlignment="1">
      <alignment horizontal="center" vertical="center"/>
    </xf>
    <xf numFmtId="0" fontId="8" fillId="19" borderId="1" xfId="0" applyFont="1" applyFill="1" applyBorder="1">
      <alignment vertical="center"/>
    </xf>
    <xf numFmtId="0" fontId="8" fillId="0" borderId="141" xfId="0" applyFont="1" applyBorder="1">
      <alignment vertical="center"/>
    </xf>
    <xf numFmtId="0" fontId="8" fillId="0" borderId="76" xfId="0" applyFont="1" applyBorder="1" applyAlignment="1">
      <alignment horizontal="right" vertical="center"/>
    </xf>
    <xf numFmtId="0" fontId="89" fillId="0" borderId="110" xfId="0" applyFont="1" applyBorder="1" applyAlignment="1">
      <alignment horizontal="right" vertical="center"/>
    </xf>
    <xf numFmtId="0" fontId="79" fillId="0" borderId="110" xfId="0" applyFont="1" applyBorder="1" applyAlignment="1">
      <alignment horizontal="right" vertical="center"/>
    </xf>
    <xf numFmtId="10" fontId="8" fillId="0" borderId="142" xfId="0" applyNumberFormat="1" applyFont="1" applyBorder="1" applyAlignment="1">
      <alignment horizontal="right" vertical="center"/>
    </xf>
    <xf numFmtId="0" fontId="8" fillId="0" borderId="141" xfId="0" applyFont="1" applyBorder="1" applyAlignment="1">
      <alignment horizontal="right" vertical="center"/>
    </xf>
    <xf numFmtId="0" fontId="8" fillId="0" borderId="111" xfId="0" applyFont="1" applyBorder="1" applyAlignment="1">
      <alignment horizontal="right" vertical="center"/>
    </xf>
    <xf numFmtId="0" fontId="8" fillId="0" borderId="110" xfId="0" applyFont="1" applyBorder="1" applyAlignment="1">
      <alignment horizontal="right" vertical="center"/>
    </xf>
    <xf numFmtId="0" fontId="8" fillId="0" borderId="143" xfId="0" applyFont="1" applyBorder="1">
      <alignment vertical="center"/>
    </xf>
    <xf numFmtId="10" fontId="5" fillId="0" borderId="144" xfId="0" applyNumberFormat="1" applyFont="1" applyBorder="1" applyAlignment="1">
      <alignment horizontal="right" vertical="center"/>
    </xf>
    <xf numFmtId="0" fontId="8" fillId="0" borderId="100" xfId="0" applyFont="1" applyBorder="1" applyAlignment="1">
      <alignment horizontal="right" vertical="center"/>
    </xf>
    <xf numFmtId="0" fontId="8" fillId="0" borderId="145" xfId="0" applyFont="1" applyBorder="1" applyAlignment="1">
      <alignment horizontal="right" vertical="center"/>
    </xf>
    <xf numFmtId="10" fontId="8" fillId="0" borderId="144" xfId="0" applyNumberFormat="1" applyFont="1" applyBorder="1" applyAlignment="1">
      <alignment horizontal="right" vertical="center"/>
    </xf>
    <xf numFmtId="10" fontId="82" fillId="0" borderId="142" xfId="0" applyNumberFormat="1" applyFont="1" applyBorder="1" applyAlignment="1">
      <alignment horizontal="right" vertical="center"/>
    </xf>
    <xf numFmtId="0" fontId="8" fillId="9" borderId="146" xfId="0" applyFont="1" applyFill="1" applyBorder="1">
      <alignment vertical="center"/>
    </xf>
    <xf numFmtId="0" fontId="8" fillId="9" borderId="147" xfId="0" applyFont="1" applyFill="1" applyBorder="1" applyAlignment="1">
      <alignment horizontal="right" vertical="center"/>
    </xf>
    <xf numFmtId="0" fontId="89" fillId="9" borderId="147" xfId="0" applyFont="1" applyFill="1" applyBorder="1" applyAlignment="1">
      <alignment horizontal="right" vertical="center"/>
    </xf>
    <xf numFmtId="0" fontId="79" fillId="9" borderId="148" xfId="0" applyFont="1" applyFill="1" applyBorder="1" applyAlignment="1">
      <alignment horizontal="right" vertical="center"/>
    </xf>
    <xf numFmtId="10" fontId="82" fillId="9" borderId="149" xfId="0" applyNumberFormat="1" applyFont="1" applyFill="1" applyBorder="1" applyAlignment="1">
      <alignment horizontal="right" vertical="center"/>
    </xf>
    <xf numFmtId="0" fontId="8" fillId="9" borderId="150" xfId="0" applyFont="1" applyFill="1" applyBorder="1" applyAlignment="1">
      <alignment horizontal="right" vertical="center"/>
    </xf>
    <xf numFmtId="0" fontId="8" fillId="9" borderId="151" xfId="0" applyFont="1" applyFill="1" applyBorder="1" applyAlignment="1">
      <alignment horizontal="right" vertical="center"/>
    </xf>
    <xf numFmtId="0" fontId="79" fillId="9" borderId="151" xfId="0" applyFont="1" applyFill="1" applyBorder="1" applyAlignment="1">
      <alignment horizontal="right" vertical="center"/>
    </xf>
    <xf numFmtId="0" fontId="8" fillId="9" borderId="105" xfId="0" applyFont="1" applyFill="1" applyBorder="1">
      <alignment vertical="center"/>
    </xf>
    <xf numFmtId="0" fontId="8" fillId="0" borderId="152" xfId="0" applyFont="1" applyBorder="1">
      <alignment vertical="center"/>
    </xf>
    <xf numFmtId="0" fontId="8" fillId="19" borderId="156" xfId="0" applyFont="1" applyFill="1" applyBorder="1" applyAlignment="1">
      <alignment horizontal="center" vertical="center" wrapText="1"/>
    </xf>
    <xf numFmtId="0" fontId="8" fillId="19" borderId="135" xfId="0" applyFont="1" applyFill="1" applyBorder="1" applyAlignment="1">
      <alignment horizontal="center" vertical="center" wrapText="1"/>
    </xf>
    <xf numFmtId="0" fontId="8" fillId="19" borderId="135" xfId="0" applyFont="1" applyFill="1" applyBorder="1" applyAlignment="1">
      <alignment horizontal="center" vertical="center"/>
    </xf>
    <xf numFmtId="0" fontId="8" fillId="19" borderId="157" xfId="0" applyFont="1" applyFill="1" applyBorder="1" applyAlignment="1">
      <alignment horizontal="center" vertical="center"/>
    </xf>
    <xf numFmtId="0" fontId="8" fillId="0" borderId="141" xfId="0" applyFont="1" applyBorder="1" applyAlignment="1">
      <alignment horizontal="left" vertical="center"/>
    </xf>
    <xf numFmtId="10" fontId="82" fillId="0" borderId="142" xfId="0" applyNumberFormat="1" applyFont="1" applyBorder="1" applyAlignment="1">
      <alignment horizontal="center" vertical="center"/>
    </xf>
    <xf numFmtId="0" fontId="8" fillId="0" borderId="1" xfId="0" applyFont="1" applyBorder="1" applyAlignment="1">
      <alignment horizontal="right" vertical="center"/>
    </xf>
    <xf numFmtId="0" fontId="8" fillId="0" borderId="9" xfId="0" applyFont="1" applyBorder="1" applyAlignment="1">
      <alignment horizontal="right" vertical="center"/>
    </xf>
    <xf numFmtId="0" fontId="8" fillId="0" borderId="108" xfId="0" applyFont="1" applyBorder="1">
      <alignment vertical="center"/>
    </xf>
    <xf numFmtId="10" fontId="82" fillId="0" borderId="144" xfId="0" applyNumberFormat="1" applyFont="1" applyBorder="1" applyAlignment="1">
      <alignment horizontal="center" vertical="center"/>
    </xf>
    <xf numFmtId="0" fontId="79" fillId="0" borderId="1" xfId="0" applyFont="1" applyBorder="1" applyAlignment="1"/>
    <xf numFmtId="0" fontId="8" fillId="0" borderId="99" xfId="0" applyFont="1" applyBorder="1" applyAlignment="1">
      <alignment horizontal="right" vertical="center"/>
    </xf>
    <xf numFmtId="0" fontId="8" fillId="0" borderId="130" xfId="0" applyFont="1" applyBorder="1">
      <alignment vertical="center"/>
    </xf>
    <xf numFmtId="0" fontId="8" fillId="0" borderId="145" xfId="0" applyFont="1" applyBorder="1" applyAlignment="1">
      <alignment horizontal="left" vertical="center"/>
    </xf>
    <xf numFmtId="0" fontId="8" fillId="0" borderId="128" xfId="0" applyFont="1" applyBorder="1" applyAlignment="1">
      <alignment horizontal="center" vertical="center"/>
    </xf>
    <xf numFmtId="0" fontId="8" fillId="0" borderId="128" xfId="0" applyFont="1" applyBorder="1">
      <alignment vertical="center"/>
    </xf>
    <xf numFmtId="0" fontId="8" fillId="9" borderId="150" xfId="0" applyFont="1" applyFill="1" applyBorder="1" applyAlignment="1">
      <alignment horizontal="left" vertical="center"/>
    </xf>
    <xf numFmtId="0" fontId="8" fillId="9" borderId="158" xfId="0" applyFont="1" applyFill="1" applyBorder="1" applyAlignment="1">
      <alignment horizontal="right" vertical="center"/>
    </xf>
    <xf numFmtId="0" fontId="89" fillId="9" borderId="158" xfId="0" applyFont="1" applyFill="1" applyBorder="1" applyAlignment="1">
      <alignment horizontal="right" vertical="center"/>
    </xf>
    <xf numFmtId="10" fontId="82" fillId="13" borderId="159" xfId="0" applyNumberFormat="1" applyFont="1" applyFill="1" applyBorder="1" applyAlignment="1">
      <alignment horizontal="center" vertical="center"/>
    </xf>
    <xf numFmtId="0" fontId="8" fillId="9" borderId="160" xfId="0" applyFont="1" applyFill="1" applyBorder="1" applyAlignment="1">
      <alignment horizontal="right" vertical="center"/>
    </xf>
    <xf numFmtId="0" fontId="8" fillId="9" borderId="148" xfId="0" applyFont="1" applyFill="1" applyBorder="1" applyAlignment="1">
      <alignment horizontal="right" vertical="center"/>
    </xf>
    <xf numFmtId="0" fontId="79" fillId="9" borderId="161" xfId="0" applyFont="1" applyFill="1" applyBorder="1" applyAlignment="1">
      <alignment horizontal="right" vertical="center"/>
    </xf>
    <xf numFmtId="0" fontId="8" fillId="9" borderId="162" xfId="0" applyFont="1" applyFill="1" applyBorder="1">
      <alignment vertical="center"/>
    </xf>
    <xf numFmtId="0" fontId="8" fillId="0" borderId="124" xfId="0" applyFont="1" applyBorder="1">
      <alignment vertical="center"/>
    </xf>
    <xf numFmtId="0" fontId="8" fillId="19" borderId="111" xfId="0" applyFont="1" applyFill="1" applyBorder="1">
      <alignment vertical="center"/>
    </xf>
    <xf numFmtId="0" fontId="8" fillId="0" borderId="99" xfId="0" applyFont="1" applyBorder="1" applyAlignment="1">
      <alignment horizontal="left" vertical="center"/>
    </xf>
    <xf numFmtId="0" fontId="5" fillId="0" borderId="118" xfId="0" applyFont="1" applyBorder="1">
      <alignment vertical="center"/>
    </xf>
    <xf numFmtId="0" fontId="5" fillId="0" borderId="163" xfId="0" applyFont="1" applyBorder="1">
      <alignment vertical="center"/>
    </xf>
    <xf numFmtId="0" fontId="5" fillId="0" borderId="164" xfId="0" applyFont="1" applyBorder="1">
      <alignment vertical="center"/>
    </xf>
    <xf numFmtId="0" fontId="60" fillId="15" borderId="81" xfId="0" applyFont="1" applyFill="1" applyBorder="1" applyAlignment="1">
      <alignment horizontal="center" vertical="center"/>
    </xf>
    <xf numFmtId="178" fontId="63" fillId="16" borderId="23" xfId="0" applyNumberFormat="1" applyFont="1" applyFill="1" applyBorder="1" applyAlignment="1">
      <alignment horizontal="center" vertical="center"/>
    </xf>
    <xf numFmtId="178" fontId="63" fillId="16" borderId="83" xfId="0" applyNumberFormat="1" applyFont="1" applyFill="1" applyBorder="1" applyAlignment="1">
      <alignment horizontal="center" vertical="center"/>
    </xf>
    <xf numFmtId="178" fontId="63" fillId="16" borderId="84" xfId="0" applyNumberFormat="1" applyFont="1" applyFill="1" applyBorder="1" applyAlignment="1">
      <alignment horizontal="center" vertical="center"/>
    </xf>
    <xf numFmtId="0" fontId="8" fillId="0" borderId="110" xfId="0" applyFont="1" applyBorder="1" applyAlignment="1">
      <alignment vertical="center" wrapText="1"/>
    </xf>
    <xf numFmtId="0" fontId="0" fillId="0" borderId="1" xfId="0" applyBorder="1" applyAlignment="1">
      <alignment vertical="center" wrapText="1"/>
    </xf>
    <xf numFmtId="0" fontId="79" fillId="19" borderId="138" xfId="0" applyFont="1" applyFill="1" applyBorder="1" applyAlignment="1">
      <alignment horizontal="left" vertical="center"/>
    </xf>
    <xf numFmtId="0" fontId="0" fillId="0" borderId="111" xfId="0" applyBorder="1">
      <alignment vertical="center"/>
    </xf>
    <xf numFmtId="0" fontId="8" fillId="19" borderId="98" xfId="0" applyFont="1" applyFill="1" applyBorder="1" applyAlignment="1"/>
    <xf numFmtId="0" fontId="0" fillId="0" borderId="101" xfId="0" applyBorder="1">
      <alignment vertical="center"/>
    </xf>
    <xf numFmtId="0" fontId="8" fillId="19" borderId="140" xfId="0" applyFont="1" applyFill="1" applyBorder="1" applyAlignment="1">
      <alignment horizontal="center" vertical="center"/>
    </xf>
    <xf numFmtId="0" fontId="0" fillId="0" borderId="96" xfId="0" applyBorder="1">
      <alignment vertical="center"/>
    </xf>
    <xf numFmtId="0" fontId="8" fillId="19" borderId="153" xfId="0" applyFont="1" applyFill="1" applyBorder="1" applyAlignment="1">
      <alignment horizontal="center" vertical="center"/>
    </xf>
    <xf numFmtId="0" fontId="0" fillId="0" borderId="154" xfId="0" applyBorder="1">
      <alignment vertical="center"/>
    </xf>
    <xf numFmtId="0" fontId="0" fillId="0" borderId="155" xfId="0" applyBorder="1">
      <alignment vertical="center"/>
    </xf>
    <xf numFmtId="0" fontId="8" fillId="0" borderId="111" xfId="0" applyFont="1" applyBorder="1" applyAlignment="1">
      <alignment vertical="center" wrapText="1"/>
    </xf>
    <xf numFmtId="0" fontId="1" fillId="19" borderId="136" xfId="0" applyFont="1" applyFill="1" applyBorder="1" applyAlignment="1">
      <alignment horizontal="left" vertical="center" wrapText="1"/>
    </xf>
    <xf numFmtId="0" fontId="0" fillId="0" borderId="141" xfId="0" applyBorder="1">
      <alignment vertical="center"/>
    </xf>
    <xf numFmtId="0" fontId="8" fillId="19" borderId="137" xfId="0" applyFont="1" applyFill="1" applyBorder="1" applyAlignment="1">
      <alignment horizontal="left" vertical="center"/>
    </xf>
    <xf numFmtId="0" fontId="89" fillId="19" borderId="137" xfId="0" applyFont="1" applyFill="1" applyBorder="1" applyAlignment="1">
      <alignment horizontal="left" vertical="center"/>
    </xf>
    <xf numFmtId="0" fontId="8" fillId="19" borderId="139" xfId="0" applyFont="1" applyFill="1" applyBorder="1" applyAlignment="1">
      <alignment horizontal="left" vertical="center"/>
    </xf>
    <xf numFmtId="0" fontId="0" fillId="0" borderId="142" xfId="0" applyBorder="1">
      <alignment vertical="center"/>
    </xf>
    <xf numFmtId="0" fontId="8" fillId="19" borderId="111" xfId="0" applyFont="1" applyFill="1" applyBorder="1">
      <alignment vertical="center"/>
    </xf>
    <xf numFmtId="0" fontId="8" fillId="22" borderId="135" xfId="0" applyFont="1" applyFill="1" applyBorder="1">
      <alignment vertical="center"/>
    </xf>
    <xf numFmtId="0" fontId="0" fillId="0" borderId="135" xfId="0" applyBorder="1">
      <alignment vertical="center"/>
    </xf>
    <xf numFmtId="0" fontId="1" fillId="19" borderId="136" xfId="0" applyFont="1" applyFill="1" applyBorder="1">
      <alignment vertical="center"/>
    </xf>
    <xf numFmtId="0" fontId="5" fillId="19" borderId="95" xfId="0" applyFont="1" applyFill="1" applyBorder="1">
      <alignment vertical="center"/>
    </xf>
    <xf numFmtId="0" fontId="5" fillId="19" borderId="96" xfId="0" applyFont="1" applyFill="1" applyBorder="1">
      <alignment vertical="center"/>
    </xf>
    <xf numFmtId="0" fontId="0" fillId="19" borderId="115" xfId="0" applyFill="1" applyBorder="1">
      <alignment vertical="center"/>
    </xf>
    <xf numFmtId="0" fontId="5" fillId="19" borderId="115" xfId="0" applyFont="1" applyFill="1" applyBorder="1">
      <alignment vertical="center"/>
    </xf>
    <xf numFmtId="0" fontId="0" fillId="0" borderId="98" xfId="0" applyBorder="1">
      <alignment vertical="center"/>
    </xf>
    <xf numFmtId="0" fontId="5" fillId="23" borderId="117" xfId="0" applyFont="1" applyFill="1" applyBorder="1" applyAlignment="1">
      <alignment vertical="center" wrapText="1"/>
    </xf>
    <xf numFmtId="0" fontId="0" fillId="0" borderId="121" xfId="0" applyBorder="1">
      <alignment vertical="center"/>
    </xf>
    <xf numFmtId="0" fontId="88" fillId="0" borderId="0" xfId="0" applyFont="1" applyAlignment="1">
      <alignment vertical="center" wrapText="1"/>
    </xf>
    <xf numFmtId="0" fontId="5" fillId="0" borderId="0" xfId="0" applyFont="1">
      <alignment vertical="center"/>
    </xf>
    <xf numFmtId="0" fontId="5" fillId="7" borderId="9" xfId="0" applyFont="1" applyFill="1" applyBorder="1" applyAlignment="1">
      <alignment horizontal="center"/>
    </xf>
    <xf numFmtId="0" fontId="0" fillId="0" borderId="9" xfId="0" applyBorder="1">
      <alignment vertical="center"/>
    </xf>
    <xf numFmtId="0" fontId="8" fillId="0" borderId="79" xfId="0" applyFont="1" applyBorder="1" applyAlignment="1">
      <alignment vertical="center" wrapText="1"/>
    </xf>
    <xf numFmtId="0" fontId="0" fillId="0" borderId="1" xfId="0" applyBorder="1">
      <alignment vertical="center"/>
    </xf>
    <xf numFmtId="0" fontId="5" fillId="0" borderId="2" xfId="0" applyFont="1" applyBorder="1" applyAlignment="1">
      <alignment vertical="center" wrapText="1"/>
    </xf>
    <xf numFmtId="0" fontId="0" fillId="0" borderId="15" xfId="0" applyBorder="1">
      <alignment vertical="center"/>
    </xf>
    <xf numFmtId="0" fontId="0" fillId="0" borderId="5" xfId="0" applyBorder="1">
      <alignment vertical="center"/>
    </xf>
    <xf numFmtId="0" fontId="1" fillId="0" borderId="0" xfId="0" applyFont="1" applyAlignment="1">
      <alignment vertical="center" wrapText="1"/>
    </xf>
    <xf numFmtId="0" fontId="1" fillId="0" borderId="9" xfId="0" applyFont="1" applyBorder="1" applyAlignment="1"/>
    <xf numFmtId="0" fontId="0" fillId="0" borderId="13" xfId="0" applyBorder="1">
      <alignment vertical="center"/>
    </xf>
    <xf numFmtId="0" fontId="0" fillId="0" borderId="14" xfId="0" applyBorder="1">
      <alignment vertical="center"/>
    </xf>
    <xf numFmtId="0" fontId="1" fillId="2" borderId="3" xfId="0" applyFont="1" applyFill="1" applyBorder="1" applyAlignment="1">
      <alignment horizontal="center" vertical="center" wrapText="1"/>
    </xf>
    <xf numFmtId="0" fontId="0" fillId="0" borderId="6" xfId="0" applyBorder="1">
      <alignment vertical="center"/>
    </xf>
    <xf numFmtId="0" fontId="1" fillId="2" borderId="4" xfId="0" applyFont="1" applyFill="1" applyBorder="1" applyAlignment="1">
      <alignment horizontal="center" vertical="center"/>
    </xf>
    <xf numFmtId="0" fontId="4" fillId="2" borderId="2" xfId="0" applyFont="1" applyFill="1" applyBorder="1" applyAlignment="1">
      <alignment horizontal="center" vertical="center"/>
    </xf>
    <xf numFmtId="0" fontId="2" fillId="2" borderId="1" xfId="0" applyFont="1" applyFill="1" applyBorder="1" applyAlignment="1">
      <alignment horizontal="center" vertical="center" wrapText="1"/>
    </xf>
    <xf numFmtId="0" fontId="3" fillId="4" borderId="1" xfId="0" applyFont="1" applyFill="1" applyBorder="1" applyAlignment="1"/>
    <xf numFmtId="0" fontId="1" fillId="2" borderId="1" xfId="0" applyFont="1" applyFill="1" applyBorder="1" applyAlignment="1">
      <alignment horizontal="center" vertical="center" wrapText="1"/>
    </xf>
    <xf numFmtId="0" fontId="1" fillId="3" borderId="1" xfId="0" applyFont="1" applyFill="1" applyBorder="1" applyAlignment="1">
      <alignment horizontal="center" vertical="center"/>
    </xf>
    <xf numFmtId="0" fontId="2" fillId="2" borderId="2" xfId="0" applyFont="1" applyFill="1" applyBorder="1" applyAlignment="1">
      <alignment horizontal="center" vertical="center" wrapText="1"/>
    </xf>
    <xf numFmtId="0" fontId="0" fillId="0" borderId="2" xfId="0" applyBorder="1">
      <alignment vertical="center"/>
    </xf>
    <xf numFmtId="0" fontId="2" fillId="2" borderId="4" xfId="0" applyFont="1" applyFill="1" applyBorder="1" applyAlignment="1">
      <alignment horizontal="center" vertical="center" wrapText="1"/>
    </xf>
    <xf numFmtId="0" fontId="0" fillId="0" borderId="43" xfId="0" applyBorder="1">
      <alignment vertical="center"/>
    </xf>
    <xf numFmtId="0" fontId="1" fillId="2" borderId="23" xfId="0" applyFont="1" applyFill="1" applyBorder="1" applyAlignment="1">
      <alignment horizontal="center" vertical="center" wrapText="1"/>
    </xf>
    <xf numFmtId="0" fontId="2" fillId="2" borderId="23" xfId="0" applyFont="1" applyFill="1" applyBorder="1" applyAlignment="1">
      <alignment horizontal="center" vertical="center" wrapText="1"/>
    </xf>
    <xf numFmtId="0" fontId="16" fillId="2" borderId="4" xfId="0" applyFont="1" applyFill="1" applyBorder="1" applyAlignment="1">
      <alignment horizontal="center" vertical="center" wrapText="1"/>
    </xf>
    <xf numFmtId="0" fontId="14" fillId="2" borderId="4" xfId="0" applyFont="1" applyFill="1" applyBorder="1" applyAlignment="1">
      <alignment horizontal="center" vertical="center"/>
    </xf>
    <xf numFmtId="0" fontId="14" fillId="2" borderId="4" xfId="0" applyFont="1" applyFill="1" applyBorder="1" applyAlignment="1">
      <alignment horizontal="center" vertical="center" wrapText="1"/>
    </xf>
    <xf numFmtId="0" fontId="14" fillId="2" borderId="9" xfId="0" applyFont="1" applyFill="1" applyBorder="1" applyAlignment="1">
      <alignment horizontal="center" vertical="center" wrapText="1"/>
    </xf>
    <xf numFmtId="0" fontId="0" fillId="0" borderId="22" xfId="0" applyBorder="1">
      <alignment vertical="center"/>
    </xf>
    <xf numFmtId="0" fontId="15" fillId="2" borderId="4" xfId="0" applyFont="1" applyFill="1" applyBorder="1" applyAlignment="1">
      <alignment horizontal="center" vertical="center" wrapText="1"/>
    </xf>
    <xf numFmtId="0" fontId="1" fillId="3" borderId="23" xfId="0" applyFont="1" applyFill="1" applyBorder="1" applyAlignment="1">
      <alignment horizontal="center" vertical="center" wrapText="1"/>
    </xf>
    <xf numFmtId="0" fontId="1" fillId="3" borderId="134" xfId="0" applyFont="1" applyFill="1" applyBorder="1" applyAlignment="1">
      <alignment horizontal="center" vertical="center" wrapText="1"/>
    </xf>
    <xf numFmtId="0" fontId="0" fillId="0" borderId="42" xfId="0" applyBorder="1">
      <alignment vertical="center"/>
    </xf>
    <xf numFmtId="0" fontId="1" fillId="3" borderId="9" xfId="0" applyFont="1" applyFill="1" applyBorder="1" applyAlignment="1">
      <alignment horizontal="center" vertical="center" wrapText="1"/>
    </xf>
    <xf numFmtId="0" fontId="1" fillId="3" borderId="55" xfId="0" applyFont="1" applyFill="1" applyBorder="1" applyAlignment="1">
      <alignment horizontal="center" vertical="center" wrapText="1"/>
    </xf>
    <xf numFmtId="0" fontId="0" fillId="0" borderId="3" xfId="0" applyBorder="1">
      <alignment vertical="center"/>
    </xf>
    <xf numFmtId="0" fontId="1" fillId="2" borderId="41" xfId="0" applyFont="1" applyFill="1" applyBorder="1" applyAlignment="1">
      <alignment horizontal="center" vertical="center" wrapText="1"/>
    </xf>
    <xf numFmtId="0" fontId="0" fillId="0" borderId="46" xfId="0" applyBorder="1">
      <alignment vertical="center"/>
    </xf>
    <xf numFmtId="0" fontId="14" fillId="2" borderId="23" xfId="0" applyFont="1" applyFill="1" applyBorder="1" applyAlignment="1">
      <alignment horizontal="center" vertical="center" wrapText="1"/>
    </xf>
    <xf numFmtId="0" fontId="14" fillId="2" borderId="37" xfId="0" applyFont="1" applyFill="1" applyBorder="1" applyAlignment="1">
      <alignment horizontal="center" vertical="center" wrapText="1"/>
    </xf>
    <xf numFmtId="0" fontId="0" fillId="0" borderId="44" xfId="0" applyBorder="1">
      <alignment vertical="center"/>
    </xf>
    <xf numFmtId="0" fontId="14" fillId="2" borderId="38" xfId="0" applyFont="1" applyFill="1" applyBorder="1" applyAlignment="1">
      <alignment horizontal="center" vertical="center" wrapText="1"/>
    </xf>
    <xf numFmtId="0" fontId="0" fillId="0" borderId="39" xfId="0" applyBorder="1">
      <alignment vertical="center"/>
    </xf>
    <xf numFmtId="0" fontId="0" fillId="0" borderId="40" xfId="0" applyBorder="1">
      <alignment vertical="center"/>
    </xf>
    <xf numFmtId="0" fontId="14" fillId="2" borderId="34" xfId="0" applyFont="1" applyFill="1" applyBorder="1" applyAlignment="1">
      <alignment horizontal="center" vertical="center" wrapText="1"/>
    </xf>
    <xf numFmtId="0" fontId="1" fillId="2" borderId="35" xfId="0" applyFont="1" applyFill="1" applyBorder="1" applyAlignment="1">
      <alignment horizontal="center" vertical="center" wrapText="1"/>
    </xf>
    <xf numFmtId="0" fontId="14" fillId="2" borderId="36" xfId="0" applyFont="1" applyFill="1" applyBorder="1" applyAlignment="1">
      <alignment horizontal="center" vertical="center" wrapText="1"/>
    </xf>
    <xf numFmtId="0" fontId="15" fillId="2" borderId="36" xfId="0" applyFont="1" applyFill="1" applyBorder="1" applyAlignment="1">
      <alignment horizontal="center" vertical="center" wrapText="1"/>
    </xf>
    <xf numFmtId="0" fontId="1" fillId="3" borderId="1" xfId="0" applyFont="1" applyFill="1" applyBorder="1" applyAlignment="1">
      <alignment horizontal="center" vertical="center" wrapText="1"/>
    </xf>
    <xf numFmtId="0" fontId="1" fillId="3" borderId="2" xfId="0" applyFont="1" applyFill="1" applyBorder="1" applyAlignment="1">
      <alignment horizontal="center" vertical="center"/>
    </xf>
    <xf numFmtId="0" fontId="1" fillId="3" borderId="2" xfId="0" applyFont="1" applyFill="1" applyBorder="1" applyAlignment="1">
      <alignment horizontal="center" vertical="center" wrapText="1"/>
    </xf>
    <xf numFmtId="0" fontId="0" fillId="0" borderId="72" xfId="0" applyBorder="1">
      <alignment vertical="center"/>
    </xf>
    <xf numFmtId="0" fontId="0" fillId="0" borderId="80" xfId="0" applyBorder="1">
      <alignment vertical="center"/>
    </xf>
    <xf numFmtId="0" fontId="67" fillId="0" borderId="0" xfId="0" applyFont="1" applyAlignment="1">
      <alignment horizontal="center" vertical="center"/>
    </xf>
    <xf numFmtId="0" fontId="0" fillId="0" borderId="0" xfId="0">
      <alignment vertical="center"/>
    </xf>
    <xf numFmtId="0" fontId="74" fillId="0" borderId="0" xfId="0" applyFont="1">
      <alignment vertical="center"/>
    </xf>
    <xf numFmtId="0" fontId="1" fillId="3" borderId="13" xfId="0" applyFont="1" applyFill="1" applyBorder="1" applyAlignment="1">
      <alignment horizontal="center" vertical="center" wrapText="1"/>
    </xf>
    <xf numFmtId="0" fontId="5" fillId="0" borderId="1" xfId="0" applyFont="1" applyBorder="1" applyAlignment="1">
      <alignment vertical="center" wrapText="1"/>
    </xf>
    <xf numFmtId="0" fontId="3" fillId="0" borderId="1" xfId="0" applyFont="1" applyBorder="1">
      <alignment vertical="center"/>
    </xf>
    <xf numFmtId="0" fontId="5" fillId="0" borderId="7" xfId="0" applyFont="1" applyBorder="1" applyAlignment="1">
      <alignment vertical="center" wrapText="1"/>
    </xf>
    <xf numFmtId="0" fontId="3" fillId="0" borderId="7" xfId="0" applyFont="1" applyBorder="1">
      <alignment vertical="center"/>
    </xf>
    <xf numFmtId="0" fontId="5" fillId="0" borderId="1" xfId="0" applyFont="1" applyBorder="1">
      <alignment vertical="center"/>
    </xf>
    <xf numFmtId="0" fontId="15" fillId="2" borderId="23" xfId="0" applyFont="1" applyFill="1" applyBorder="1" applyAlignment="1">
      <alignment horizontal="center" vertical="center" wrapText="1"/>
    </xf>
    <xf numFmtId="0" fontId="1" fillId="3" borderId="79" xfId="0" applyFont="1" applyFill="1" applyBorder="1" applyAlignment="1">
      <alignment horizontal="center" vertical="center" wrapText="1"/>
    </xf>
    <xf numFmtId="0" fontId="1" fillId="3" borderId="3" xfId="0" applyFont="1" applyFill="1" applyBorder="1" applyAlignment="1">
      <alignment horizontal="center" vertical="center" wrapText="1"/>
    </xf>
    <xf numFmtId="0" fontId="14" fillId="2" borderId="23" xfId="0" applyFont="1" applyFill="1" applyBorder="1" applyAlignment="1">
      <alignment horizontal="center" vertical="center"/>
    </xf>
    <xf numFmtId="0" fontId="1" fillId="2" borderId="1" xfId="0" applyFont="1" applyFill="1" applyBorder="1" applyAlignment="1">
      <alignment horizontal="center" vertical="center"/>
    </xf>
    <xf numFmtId="0" fontId="1" fillId="2" borderId="9" xfId="0" applyFont="1" applyFill="1" applyBorder="1" applyAlignment="1">
      <alignment horizontal="center" vertical="center"/>
    </xf>
    <xf numFmtId="0" fontId="14" fillId="2" borderId="66" xfId="0" applyFont="1" applyFill="1" applyBorder="1" applyAlignment="1">
      <alignment horizontal="center" vertical="center"/>
    </xf>
    <xf numFmtId="0" fontId="0" fillId="0" borderId="53" xfId="0" applyBorder="1">
      <alignment vertical="center"/>
    </xf>
    <xf numFmtId="0" fontId="0" fillId="19" borderId="95" xfId="0" applyFill="1" applyBorder="1">
      <alignment vertical="center"/>
    </xf>
    <xf numFmtId="0" fontId="0" fillId="19" borderId="97" xfId="0" applyFill="1" applyBorder="1">
      <alignment vertical="center"/>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1"/>
  <c:style val="2"/>
  <c:chart>
    <c:title>
      <c:tx>
        <c:rich>
          <a:bodyPr/>
          <a:lstStyle/>
          <a:p>
            <a:pPr>
              <a:defRPr b="0" i="0"/>
            </a:pPr>
            <a:r>
              <a:t>Yundu回片基础模式执行通过率</a:t>
            </a:r>
          </a:p>
        </c:rich>
      </c:tx>
      <c:overlay val="1"/>
    </c:title>
    <c:autoTitleDeleted val="0"/>
    <c:plotArea>
      <c:layout/>
      <c:lineChart>
        <c:grouping val="standard"/>
        <c:varyColors val="1"/>
        <c:ser>
          <c:idx val="0"/>
          <c:order val="0"/>
          <c:tx>
            <c:strRef>
              <c:f>每日进展!$B$3</c:f>
              <c:strCache>
                <c:ptCount val="1"/>
                <c:pt idx="0">
                  <c:v>fanout</c:v>
                </c:pt>
              </c:strCache>
            </c:strRef>
          </c:tx>
          <c:spPr>
            <a:ln>
              <a:solidFill>
                <a:schemeClr val="accent1"/>
              </a:solidFill>
              <a:prstDash/>
              <a:headEnd/>
              <a:tailEnd/>
            </a:ln>
          </c:spPr>
          <c:marker>
            <c:symbol val="circle"/>
            <c:size val="5"/>
            <c:spPr>
              <a:solidFill>
                <a:schemeClr val="accent1"/>
              </a:solidFill>
              <a:ln w="9525">
                <a:solidFill>
                  <a:schemeClr val="accent1"/>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每日进展!$C$3:$BD$3</c:f>
              <c:numCache>
                <c:formatCode>0.00%</c:formatCode>
                <c:ptCount val="5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0.2</c:v>
                </c:pt>
                <c:pt idx="36">
                  <c:v>0.2</c:v>
                </c:pt>
                <c:pt idx="37">
                  <c:v>0.2</c:v>
                </c:pt>
                <c:pt idx="38">
                  <c:v>0.2</c:v>
                </c:pt>
                <c:pt idx="39">
                  <c:v>0.2</c:v>
                </c:pt>
              </c:numCache>
            </c:numRef>
          </c:val>
          <c:smooth val="0"/>
          <c:extLst>
            <c:ext xmlns:c16="http://schemas.microsoft.com/office/drawing/2014/chart" uri="{C3380CC4-5D6E-409C-BE32-E72D297353CC}">
              <c16:uniqueId val="{00000000-43A3-42FE-8BE2-612AA79A6721}"/>
            </c:ext>
          </c:extLst>
        </c:ser>
        <c:ser>
          <c:idx val="1"/>
          <c:order val="1"/>
          <c:tx>
            <c:strRef>
              <c:f>每日进展!$B$4</c:f>
              <c:strCache>
                <c:ptCount val="1"/>
                <c:pt idx="0">
                  <c:v>AI场景</c:v>
                </c:pt>
              </c:strCache>
            </c:strRef>
          </c:tx>
          <c:spPr>
            <a:ln>
              <a:solidFill>
                <a:schemeClr val="accent2"/>
              </a:solidFill>
              <a:prstDash/>
              <a:headEnd/>
              <a:tailEnd/>
            </a:ln>
          </c:spPr>
          <c:marker>
            <c:symbol val="circle"/>
            <c:size val="5"/>
            <c:spPr>
              <a:solidFill>
                <a:schemeClr val="accent2"/>
              </a:solidFill>
              <a:ln w="9525">
                <a:solidFill>
                  <a:schemeClr val="accent2"/>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每日进展!$C$4:$BD$4</c:f>
              <c:numCache>
                <c:formatCode>0.00%</c:formatCode>
                <c:ptCount val="54"/>
                <c:pt idx="0">
                  <c:v>0</c:v>
                </c:pt>
                <c:pt idx="1">
                  <c:v>0</c:v>
                </c:pt>
                <c:pt idx="2">
                  <c:v>0.1525</c:v>
                </c:pt>
                <c:pt idx="3">
                  <c:v>0.1525</c:v>
                </c:pt>
                <c:pt idx="4">
                  <c:v>0.16950000000000001</c:v>
                </c:pt>
                <c:pt idx="5">
                  <c:v>0.16950000000000001</c:v>
                </c:pt>
                <c:pt idx="6">
                  <c:v>0.18640000000000001</c:v>
                </c:pt>
                <c:pt idx="7">
                  <c:v>0.32200000000000001</c:v>
                </c:pt>
                <c:pt idx="8">
                  <c:v>0.42370000000000002</c:v>
                </c:pt>
                <c:pt idx="9">
                  <c:v>0.42370000000000002</c:v>
                </c:pt>
                <c:pt idx="10">
                  <c:v>0.42370000000000002</c:v>
                </c:pt>
                <c:pt idx="11">
                  <c:v>0.42370000000000002</c:v>
                </c:pt>
                <c:pt idx="12">
                  <c:v>0.44069999999999998</c:v>
                </c:pt>
                <c:pt idx="13">
                  <c:v>0.44069999999999998</c:v>
                </c:pt>
                <c:pt idx="14">
                  <c:v>0.45</c:v>
                </c:pt>
                <c:pt idx="15">
                  <c:v>0.45</c:v>
                </c:pt>
                <c:pt idx="16">
                  <c:v>0.47499999999999998</c:v>
                </c:pt>
                <c:pt idx="17">
                  <c:v>0.51280000000000003</c:v>
                </c:pt>
                <c:pt idx="18">
                  <c:v>0.53846153846153899</c:v>
                </c:pt>
                <c:pt idx="19">
                  <c:v>0.53846153846153899</c:v>
                </c:pt>
                <c:pt idx="20">
                  <c:v>0.53846153846153899</c:v>
                </c:pt>
                <c:pt idx="21">
                  <c:v>0.53846153846153899</c:v>
                </c:pt>
                <c:pt idx="22">
                  <c:v>0.53846153846153899</c:v>
                </c:pt>
                <c:pt idx="23">
                  <c:v>0.53846153846153899</c:v>
                </c:pt>
                <c:pt idx="24">
                  <c:v>0.53846153846153899</c:v>
                </c:pt>
                <c:pt idx="25">
                  <c:v>0.53846153846153899</c:v>
                </c:pt>
                <c:pt idx="26">
                  <c:v>0.53849999999999998</c:v>
                </c:pt>
                <c:pt idx="27">
                  <c:v>0.53846153846153899</c:v>
                </c:pt>
                <c:pt idx="28">
                  <c:v>0.55263157894736903</c:v>
                </c:pt>
                <c:pt idx="29">
                  <c:v>0.55263157894736903</c:v>
                </c:pt>
                <c:pt idx="30">
                  <c:v>0.55263157894736903</c:v>
                </c:pt>
                <c:pt idx="31">
                  <c:v>0.55259999999999998</c:v>
                </c:pt>
                <c:pt idx="32">
                  <c:v>0.55259999999999998</c:v>
                </c:pt>
                <c:pt idx="33">
                  <c:v>0.55259999999999998</c:v>
                </c:pt>
                <c:pt idx="34">
                  <c:v>0.55263157894736903</c:v>
                </c:pt>
                <c:pt idx="35">
                  <c:v>0.55263157894736903</c:v>
                </c:pt>
                <c:pt idx="36">
                  <c:v>0.55263157894736903</c:v>
                </c:pt>
                <c:pt idx="37">
                  <c:v>0.55263157894736903</c:v>
                </c:pt>
                <c:pt idx="38">
                  <c:v>0.55263157894736903</c:v>
                </c:pt>
                <c:pt idx="39">
                  <c:v>0.60526315789473695</c:v>
                </c:pt>
              </c:numCache>
            </c:numRef>
          </c:val>
          <c:smooth val="0"/>
          <c:extLst>
            <c:ext xmlns:c16="http://schemas.microsoft.com/office/drawing/2014/chart" uri="{C3380CC4-5D6E-409C-BE32-E72D297353CC}">
              <c16:uniqueId val="{00000001-43A3-42FE-8BE2-612AA79A6721}"/>
            </c:ext>
          </c:extLst>
        </c:ser>
        <c:ser>
          <c:idx val="2"/>
          <c:order val="2"/>
          <c:tx>
            <c:strRef>
              <c:f>每日进展!$B$5</c:f>
              <c:strCache>
                <c:ptCount val="1"/>
                <c:pt idx="0">
                  <c:v>存储场景</c:v>
                </c:pt>
              </c:strCache>
            </c:strRef>
          </c:tx>
          <c:spPr>
            <a:ln>
              <a:solidFill>
                <a:schemeClr val="accent3"/>
              </a:solidFill>
              <a:prstDash/>
              <a:headEnd/>
              <a:tailEnd/>
            </a:ln>
          </c:spPr>
          <c:marker>
            <c:symbol val="circle"/>
            <c:size val="5"/>
            <c:spPr>
              <a:solidFill>
                <a:schemeClr val="accent3"/>
              </a:solidFill>
              <a:ln w="9525">
                <a:solidFill>
                  <a:schemeClr val="accent3"/>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每日进展!$C$5:$BD$5</c:f>
              <c:numCache>
                <c:formatCode>0.00%</c:formatCode>
                <c:ptCount val="54"/>
                <c:pt idx="0">
                  <c:v>0</c:v>
                </c:pt>
                <c:pt idx="1">
                  <c:v>0.39389999999999997</c:v>
                </c:pt>
                <c:pt idx="2">
                  <c:v>0.45</c:v>
                </c:pt>
                <c:pt idx="3">
                  <c:v>0.45</c:v>
                </c:pt>
                <c:pt idx="4">
                  <c:v>0.45</c:v>
                </c:pt>
                <c:pt idx="5">
                  <c:v>0.5333</c:v>
                </c:pt>
                <c:pt idx="6">
                  <c:v>0.5333</c:v>
                </c:pt>
                <c:pt idx="7">
                  <c:v>0.5333</c:v>
                </c:pt>
                <c:pt idx="8">
                  <c:v>0.5333</c:v>
                </c:pt>
                <c:pt idx="9">
                  <c:v>0.56669999999999998</c:v>
                </c:pt>
                <c:pt idx="10">
                  <c:v>0.56669999999999998</c:v>
                </c:pt>
                <c:pt idx="11">
                  <c:v>0.56669999999999998</c:v>
                </c:pt>
                <c:pt idx="12">
                  <c:v>0.56669999999999998</c:v>
                </c:pt>
                <c:pt idx="13">
                  <c:v>0.56669999999999998</c:v>
                </c:pt>
                <c:pt idx="14">
                  <c:v>0.56669999999999998</c:v>
                </c:pt>
                <c:pt idx="15">
                  <c:v>0.63329999999999997</c:v>
                </c:pt>
                <c:pt idx="16">
                  <c:v>0.63329999999999997</c:v>
                </c:pt>
                <c:pt idx="17">
                  <c:v>0.63329999999999997</c:v>
                </c:pt>
                <c:pt idx="18">
                  <c:v>0.63333333333333297</c:v>
                </c:pt>
                <c:pt idx="19">
                  <c:v>0.63333333333333297</c:v>
                </c:pt>
                <c:pt idx="20">
                  <c:v>0.63333333333333297</c:v>
                </c:pt>
                <c:pt idx="21">
                  <c:v>0.63333333333333297</c:v>
                </c:pt>
                <c:pt idx="22">
                  <c:v>0.63333333333333297</c:v>
                </c:pt>
                <c:pt idx="23">
                  <c:v>0.63333333333333297</c:v>
                </c:pt>
                <c:pt idx="24">
                  <c:v>0.66666666666666696</c:v>
                </c:pt>
                <c:pt idx="25">
                  <c:v>0.66666666666666696</c:v>
                </c:pt>
                <c:pt idx="26">
                  <c:v>0.66669999999999996</c:v>
                </c:pt>
                <c:pt idx="27">
                  <c:v>0.66666666666666696</c:v>
                </c:pt>
                <c:pt idx="28">
                  <c:v>0.66666666666666696</c:v>
                </c:pt>
                <c:pt idx="29">
                  <c:v>0.66666666666666696</c:v>
                </c:pt>
                <c:pt idx="30">
                  <c:v>0.66666666666666696</c:v>
                </c:pt>
                <c:pt idx="31">
                  <c:v>0.66669999999999996</c:v>
                </c:pt>
                <c:pt idx="32">
                  <c:v>0.66669999999999996</c:v>
                </c:pt>
                <c:pt idx="33">
                  <c:v>0.66669999999999996</c:v>
                </c:pt>
                <c:pt idx="34">
                  <c:v>0.66666666666666696</c:v>
                </c:pt>
                <c:pt idx="35">
                  <c:v>0.66666666666666696</c:v>
                </c:pt>
                <c:pt idx="36">
                  <c:v>0.66666666666666696</c:v>
                </c:pt>
                <c:pt idx="37">
                  <c:v>0.66666666666666696</c:v>
                </c:pt>
                <c:pt idx="38">
                  <c:v>0.66666666666666696</c:v>
                </c:pt>
                <c:pt idx="39">
                  <c:v>0.66666666666666696</c:v>
                </c:pt>
              </c:numCache>
            </c:numRef>
          </c:val>
          <c:smooth val="0"/>
          <c:extLst>
            <c:ext xmlns:c16="http://schemas.microsoft.com/office/drawing/2014/chart" uri="{C3380CC4-5D6E-409C-BE32-E72D297353CC}">
              <c16:uniqueId val="{00000002-43A3-42FE-8BE2-612AA79A6721}"/>
            </c:ext>
          </c:extLst>
        </c:ser>
        <c:ser>
          <c:idx val="3"/>
          <c:order val="3"/>
          <c:tx>
            <c:strRef>
              <c:f>每日进展!$B$6</c:f>
              <c:strCache>
                <c:ptCount val="1"/>
                <c:pt idx="0">
                  <c:v>网络场景</c:v>
                </c:pt>
              </c:strCache>
            </c:strRef>
          </c:tx>
          <c:spPr>
            <a:ln>
              <a:solidFill>
                <a:schemeClr val="accent4"/>
              </a:solidFill>
              <a:prstDash/>
              <a:headEnd/>
              <a:tailEnd/>
            </a:ln>
          </c:spPr>
          <c:marker>
            <c:symbol val="circle"/>
            <c:size val="5"/>
            <c:spPr>
              <a:solidFill>
                <a:schemeClr val="accent4"/>
              </a:solidFill>
              <a:ln w="9525">
                <a:solidFill>
                  <a:schemeClr val="accent4"/>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每日进展!$C$6:$BD$6</c:f>
              <c:numCache>
                <c:formatCode>0.00%</c:formatCode>
                <c:ptCount val="54"/>
                <c:pt idx="0">
                  <c:v>0</c:v>
                </c:pt>
                <c:pt idx="1">
                  <c:v>0.1111</c:v>
                </c:pt>
                <c:pt idx="2">
                  <c:v>0.1389</c:v>
                </c:pt>
                <c:pt idx="3">
                  <c:v>0.16669999999999999</c:v>
                </c:pt>
                <c:pt idx="4">
                  <c:v>0.2727</c:v>
                </c:pt>
                <c:pt idx="5">
                  <c:v>0.30299999999999999</c:v>
                </c:pt>
                <c:pt idx="6">
                  <c:v>0.33329999999999999</c:v>
                </c:pt>
                <c:pt idx="7">
                  <c:v>0.42420000000000002</c:v>
                </c:pt>
                <c:pt idx="8">
                  <c:v>0.42420000000000002</c:v>
                </c:pt>
                <c:pt idx="9">
                  <c:v>0.51519999999999999</c:v>
                </c:pt>
                <c:pt idx="10">
                  <c:v>0.54549999999999998</c:v>
                </c:pt>
                <c:pt idx="11">
                  <c:v>0.54549999999999998</c:v>
                </c:pt>
                <c:pt idx="12">
                  <c:v>0.54549999999999998</c:v>
                </c:pt>
                <c:pt idx="13">
                  <c:v>0.54549999999999998</c:v>
                </c:pt>
                <c:pt idx="14">
                  <c:v>0.54549999999999998</c:v>
                </c:pt>
                <c:pt idx="15">
                  <c:v>0.54549999999999998</c:v>
                </c:pt>
                <c:pt idx="16">
                  <c:v>0.54549999999999998</c:v>
                </c:pt>
                <c:pt idx="17">
                  <c:v>0.54549999999999998</c:v>
                </c:pt>
                <c:pt idx="18">
                  <c:v>0.54545454545454597</c:v>
                </c:pt>
                <c:pt idx="19">
                  <c:v>0.54545454545454597</c:v>
                </c:pt>
                <c:pt idx="20">
                  <c:v>0.54545454545454597</c:v>
                </c:pt>
                <c:pt idx="21">
                  <c:v>0.54545454545454597</c:v>
                </c:pt>
                <c:pt idx="22">
                  <c:v>0.54545454545454597</c:v>
                </c:pt>
                <c:pt idx="23">
                  <c:v>0.54545454545454597</c:v>
                </c:pt>
                <c:pt idx="24">
                  <c:v>0.57575757575757602</c:v>
                </c:pt>
                <c:pt idx="25">
                  <c:v>0.57575757575757602</c:v>
                </c:pt>
                <c:pt idx="26">
                  <c:v>0.57579999999999998</c:v>
                </c:pt>
                <c:pt idx="27">
                  <c:v>0.57575757575757602</c:v>
                </c:pt>
                <c:pt idx="28">
                  <c:v>0.57575757575757602</c:v>
                </c:pt>
                <c:pt idx="29">
                  <c:v>0.57575757575757602</c:v>
                </c:pt>
                <c:pt idx="30">
                  <c:v>0.57575757575757602</c:v>
                </c:pt>
                <c:pt idx="31">
                  <c:v>0.57579999999999998</c:v>
                </c:pt>
                <c:pt idx="32">
                  <c:v>0.57579999999999998</c:v>
                </c:pt>
                <c:pt idx="33">
                  <c:v>0.57579999999999998</c:v>
                </c:pt>
                <c:pt idx="34">
                  <c:v>0.57575757575757602</c:v>
                </c:pt>
                <c:pt idx="35">
                  <c:v>0.57575757575757602</c:v>
                </c:pt>
                <c:pt idx="36">
                  <c:v>0.57575757575757602</c:v>
                </c:pt>
                <c:pt idx="37">
                  <c:v>0.57575757575757602</c:v>
                </c:pt>
                <c:pt idx="38">
                  <c:v>0.57575757575757602</c:v>
                </c:pt>
                <c:pt idx="39">
                  <c:v>0.60606060606060597</c:v>
                </c:pt>
              </c:numCache>
            </c:numRef>
          </c:val>
          <c:smooth val="0"/>
          <c:extLst>
            <c:ext xmlns:c16="http://schemas.microsoft.com/office/drawing/2014/chart" uri="{C3380CC4-5D6E-409C-BE32-E72D297353CC}">
              <c16:uniqueId val="{00000003-43A3-42FE-8BE2-612AA79A6721}"/>
            </c:ext>
          </c:extLst>
        </c:ser>
        <c:ser>
          <c:idx val="4"/>
          <c:order val="4"/>
          <c:tx>
            <c:strRef>
              <c:f>每日进展!$B$7</c:f>
              <c:strCache>
                <c:ptCount val="1"/>
                <c:pt idx="0">
                  <c:v>压力测试</c:v>
                </c:pt>
              </c:strCache>
            </c:strRef>
          </c:tx>
          <c:spPr>
            <a:ln>
              <a:solidFill>
                <a:schemeClr val="accent5"/>
              </a:solidFill>
              <a:prstDash/>
              <a:headEnd/>
              <a:tailEnd/>
            </a:ln>
          </c:spPr>
          <c:marker>
            <c:symbol val="circle"/>
            <c:size val="5"/>
            <c:spPr>
              <a:solidFill>
                <a:schemeClr val="accent5"/>
              </a:solidFill>
              <a:ln w="9525">
                <a:solidFill>
                  <a:schemeClr val="accent5"/>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每日进展!$C$7:$BD$7</c:f>
              <c:numCache>
                <c:formatCode>0.00%</c:formatCode>
                <c:ptCount val="5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numCache>
            </c:numRef>
          </c:val>
          <c:smooth val="0"/>
          <c:extLst>
            <c:ext xmlns:c16="http://schemas.microsoft.com/office/drawing/2014/chart" uri="{C3380CC4-5D6E-409C-BE32-E72D297353CC}">
              <c16:uniqueId val="{00000004-43A3-42FE-8BE2-612AA79A6721}"/>
            </c:ext>
          </c:extLst>
        </c:ser>
        <c:ser>
          <c:idx val="5"/>
          <c:order val="5"/>
          <c:tx>
            <c:strRef>
              <c:f>每日进展!$B$8</c:f>
              <c:strCache>
                <c:ptCount val="1"/>
                <c:pt idx="0">
                  <c:v>协议类测试</c:v>
                </c:pt>
              </c:strCache>
            </c:strRef>
          </c:tx>
          <c:spPr>
            <a:ln>
              <a:solidFill>
                <a:schemeClr val="accent6"/>
              </a:solidFill>
              <a:prstDash/>
              <a:headEnd/>
              <a:tailEnd/>
            </a:ln>
          </c:spPr>
          <c:marker>
            <c:symbol val="circle"/>
            <c:size val="5"/>
            <c:spPr>
              <a:solidFill>
                <a:schemeClr val="accent6"/>
              </a:solidFill>
              <a:ln w="9525">
                <a:solidFill>
                  <a:schemeClr val="accent6"/>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每日进展!$C$8:$BD$8</c:f>
              <c:numCache>
                <c:formatCode>0.00%</c:formatCode>
                <c:ptCount val="54"/>
                <c:pt idx="0">
                  <c:v>0</c:v>
                </c:pt>
                <c:pt idx="1">
                  <c:v>3.6299999999999999E-2</c:v>
                </c:pt>
                <c:pt idx="2">
                  <c:v>4.0500000000000001E-2</c:v>
                </c:pt>
                <c:pt idx="3">
                  <c:v>4.0500000000000001E-2</c:v>
                </c:pt>
                <c:pt idx="4">
                  <c:v>7.6899999999999996E-2</c:v>
                </c:pt>
                <c:pt idx="5">
                  <c:v>9.7900000000000001E-2</c:v>
                </c:pt>
                <c:pt idx="6">
                  <c:v>0.1021</c:v>
                </c:pt>
                <c:pt idx="7">
                  <c:v>0.1021</c:v>
                </c:pt>
                <c:pt idx="8">
                  <c:v>0.1021</c:v>
                </c:pt>
                <c:pt idx="9">
                  <c:v>0.13189999999999999</c:v>
                </c:pt>
                <c:pt idx="10">
                  <c:v>0.161</c:v>
                </c:pt>
                <c:pt idx="11">
                  <c:v>0.17799999999999999</c:v>
                </c:pt>
                <c:pt idx="12">
                  <c:v>0.17799999999999999</c:v>
                </c:pt>
                <c:pt idx="13">
                  <c:v>0.183</c:v>
                </c:pt>
                <c:pt idx="14">
                  <c:v>0.18640000000000001</c:v>
                </c:pt>
                <c:pt idx="15">
                  <c:v>0.21609999999999999</c:v>
                </c:pt>
                <c:pt idx="16">
                  <c:v>0.22550000000000001</c:v>
                </c:pt>
                <c:pt idx="17">
                  <c:v>0.26379999999999998</c:v>
                </c:pt>
                <c:pt idx="18">
                  <c:v>0.26382978723404299</c:v>
                </c:pt>
                <c:pt idx="19">
                  <c:v>0.26382978723404299</c:v>
                </c:pt>
                <c:pt idx="20">
                  <c:v>0.26382978723404299</c:v>
                </c:pt>
                <c:pt idx="21">
                  <c:v>0.26382978723404299</c:v>
                </c:pt>
                <c:pt idx="22">
                  <c:v>0.26382978723404299</c:v>
                </c:pt>
                <c:pt idx="23">
                  <c:v>0.26382978723404299</c:v>
                </c:pt>
                <c:pt idx="24">
                  <c:v>0.26495726495726502</c:v>
                </c:pt>
                <c:pt idx="25">
                  <c:v>0.26495726495726502</c:v>
                </c:pt>
                <c:pt idx="26">
                  <c:v>0.26500000000000001</c:v>
                </c:pt>
                <c:pt idx="27">
                  <c:v>0.26495726495726502</c:v>
                </c:pt>
                <c:pt idx="28">
                  <c:v>0.274678111587983</c:v>
                </c:pt>
                <c:pt idx="29">
                  <c:v>0.274678111587983</c:v>
                </c:pt>
                <c:pt idx="30">
                  <c:v>0.274678111587983</c:v>
                </c:pt>
                <c:pt idx="31">
                  <c:v>0.2747</c:v>
                </c:pt>
                <c:pt idx="32">
                  <c:v>0.2747</c:v>
                </c:pt>
                <c:pt idx="33">
                  <c:v>0.2747</c:v>
                </c:pt>
                <c:pt idx="34">
                  <c:v>0.274678111587983</c:v>
                </c:pt>
                <c:pt idx="35">
                  <c:v>0.274678111587983</c:v>
                </c:pt>
                <c:pt idx="36">
                  <c:v>0.274678111587983</c:v>
                </c:pt>
                <c:pt idx="37">
                  <c:v>0.28755364806867001</c:v>
                </c:pt>
                <c:pt idx="38">
                  <c:v>0.28755364806867001</c:v>
                </c:pt>
                <c:pt idx="39">
                  <c:v>0.30962343096234302</c:v>
                </c:pt>
              </c:numCache>
            </c:numRef>
          </c:val>
          <c:smooth val="0"/>
          <c:extLst>
            <c:ext xmlns:c16="http://schemas.microsoft.com/office/drawing/2014/chart" uri="{C3380CC4-5D6E-409C-BE32-E72D297353CC}">
              <c16:uniqueId val="{00000005-43A3-42FE-8BE2-612AA79A6721}"/>
            </c:ext>
          </c:extLst>
        </c:ser>
        <c:ser>
          <c:idx val="6"/>
          <c:order val="6"/>
          <c:tx>
            <c:strRef>
              <c:f>每日进展!$B$9</c:f>
              <c:strCache>
                <c:ptCount val="1"/>
                <c:pt idx="0">
                  <c:v>PCISIG</c:v>
                </c:pt>
              </c:strCache>
            </c:strRef>
          </c:tx>
          <c:spPr>
            <a:ln>
              <a:solidFill>
                <a:schemeClr val="accent1">
                  <a:lumMod val="60000"/>
                </a:schemeClr>
              </a:solidFill>
              <a:prstDash/>
              <a:headEnd/>
              <a:tailEnd/>
            </a:ln>
          </c:spPr>
          <c:marker>
            <c:symbol val="circle"/>
            <c:size val="5"/>
            <c:spPr>
              <a:solidFill>
                <a:schemeClr val="hlink"/>
              </a:solidFill>
              <a:ln w="9525">
                <a:solidFill>
                  <a:schemeClr val="hlink"/>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每日进展!$C$9:$BD$9</c:f>
              <c:numCache>
                <c:formatCode>0.00%</c:formatCode>
                <c:ptCount val="5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numCache>
            </c:numRef>
          </c:val>
          <c:smooth val="0"/>
          <c:extLst>
            <c:ext xmlns:c16="http://schemas.microsoft.com/office/drawing/2014/chart" uri="{C3380CC4-5D6E-409C-BE32-E72D297353CC}">
              <c16:uniqueId val="{00000006-43A3-42FE-8BE2-612AA79A6721}"/>
            </c:ext>
          </c:extLst>
        </c:ser>
        <c:ser>
          <c:idx val="7"/>
          <c:order val="7"/>
          <c:tx>
            <c:strRef>
              <c:f>每日进展!$B$10</c:f>
              <c:strCache>
                <c:ptCount val="1"/>
                <c:pt idx="0">
                  <c:v>PCIECV_USP</c:v>
                </c:pt>
              </c:strCache>
            </c:strRef>
          </c:tx>
          <c:spPr>
            <a:ln>
              <a:solidFill>
                <a:schemeClr val="accent2">
                  <a:lumMod val="60000"/>
                </a:schemeClr>
              </a:solidFill>
              <a:prstDash/>
              <a:headEnd/>
              <a:tailEnd/>
            </a:ln>
          </c:spPr>
          <c:marker>
            <c:symbol val="circle"/>
            <c:size val="5"/>
            <c:spPr>
              <a:solidFill>
                <a:schemeClr val="folHlink"/>
              </a:solidFill>
              <a:ln w="9525">
                <a:solidFill>
                  <a:schemeClr val="folHlink"/>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每日进展!$C$10:$BD$10</c:f>
              <c:numCache>
                <c:formatCode>0.00%</c:formatCode>
                <c:ptCount val="5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3.3700000000000001E-2</c:v>
                </c:pt>
                <c:pt idx="27">
                  <c:v>3.3707865168538999E-2</c:v>
                </c:pt>
                <c:pt idx="28">
                  <c:v>3.3707865168538999E-2</c:v>
                </c:pt>
                <c:pt idx="29">
                  <c:v>0.38636363636363602</c:v>
                </c:pt>
                <c:pt idx="30">
                  <c:v>0.39772727272727298</c:v>
                </c:pt>
                <c:pt idx="31">
                  <c:v>0.3977</c:v>
                </c:pt>
                <c:pt idx="32">
                  <c:v>0.81820000000000004</c:v>
                </c:pt>
                <c:pt idx="33">
                  <c:v>0.81820000000000004</c:v>
                </c:pt>
                <c:pt idx="34">
                  <c:v>0.81818181818181801</c:v>
                </c:pt>
                <c:pt idx="35">
                  <c:v>0.81818181818181801</c:v>
                </c:pt>
                <c:pt idx="36">
                  <c:v>0.81818181818181801</c:v>
                </c:pt>
                <c:pt idx="37">
                  <c:v>0.81818181818181801</c:v>
                </c:pt>
                <c:pt idx="38">
                  <c:v>0.81818181818181801</c:v>
                </c:pt>
                <c:pt idx="39">
                  <c:v>0.81818181818181801</c:v>
                </c:pt>
              </c:numCache>
            </c:numRef>
          </c:val>
          <c:smooth val="0"/>
          <c:extLst>
            <c:ext xmlns:c16="http://schemas.microsoft.com/office/drawing/2014/chart" uri="{C3380CC4-5D6E-409C-BE32-E72D297353CC}">
              <c16:uniqueId val="{00000007-43A3-42FE-8BE2-612AA79A6721}"/>
            </c:ext>
          </c:extLst>
        </c:ser>
        <c:ser>
          <c:idx val="8"/>
          <c:order val="8"/>
          <c:tx>
            <c:strRef>
              <c:f>每日进展!$B$11</c:f>
              <c:strCache>
                <c:ptCount val="1"/>
                <c:pt idx="0">
                  <c:v>PCIECV_DSP</c:v>
                </c:pt>
              </c:strCache>
            </c:strRef>
          </c:tx>
          <c:spPr>
            <a:ln>
              <a:solidFill>
                <a:schemeClr val="accent3">
                  <a:lumMod val="60000"/>
                </a:schemeClr>
              </a:solidFill>
              <a:prstDash/>
              <a:headEnd/>
              <a:tailEnd/>
            </a:ln>
          </c:spPr>
          <c:marker>
            <c:symbol val="circle"/>
            <c:size val="5"/>
            <c:spPr>
              <a:solidFill>
                <a:schemeClr val="phClr"/>
              </a:solidFill>
              <a:ln w="9525">
                <a:solidFill>
                  <a:schemeClr val="phClr"/>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每日进展!$C$11:$BD$11</c:f>
              <c:numCache>
                <c:formatCode>0.00%</c:formatCode>
                <c:ptCount val="5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4.5977011494252998E-2</c:v>
                </c:pt>
                <c:pt idx="25">
                  <c:v>5.7471264367816001E-2</c:v>
                </c:pt>
                <c:pt idx="26">
                  <c:v>0.31818181818181801</c:v>
                </c:pt>
                <c:pt idx="27">
                  <c:v>0.31818181818181801</c:v>
                </c:pt>
                <c:pt idx="28">
                  <c:v>0.31818181818181801</c:v>
                </c:pt>
                <c:pt idx="29">
                  <c:v>0.31818181818181801</c:v>
                </c:pt>
                <c:pt idx="30">
                  <c:v>0.31818181818181801</c:v>
                </c:pt>
                <c:pt idx="31">
                  <c:v>0.33710000000000001</c:v>
                </c:pt>
                <c:pt idx="32">
                  <c:v>0.79779999999999995</c:v>
                </c:pt>
                <c:pt idx="33">
                  <c:v>0.79779999999999995</c:v>
                </c:pt>
                <c:pt idx="34">
                  <c:v>0.797752808988764</c:v>
                </c:pt>
                <c:pt idx="35">
                  <c:v>0.797752808988764</c:v>
                </c:pt>
                <c:pt idx="36">
                  <c:v>0.797752808988764</c:v>
                </c:pt>
                <c:pt idx="37">
                  <c:v>0.797752808988764</c:v>
                </c:pt>
                <c:pt idx="38">
                  <c:v>0.797752808988764</c:v>
                </c:pt>
                <c:pt idx="39">
                  <c:v>0.797752808988764</c:v>
                </c:pt>
              </c:numCache>
            </c:numRef>
          </c:val>
          <c:smooth val="0"/>
          <c:extLst>
            <c:ext xmlns:c16="http://schemas.microsoft.com/office/drawing/2014/chart" uri="{C3380CC4-5D6E-409C-BE32-E72D297353CC}">
              <c16:uniqueId val="{00000008-43A3-42FE-8BE2-612AA79A6721}"/>
            </c:ext>
          </c:extLst>
        </c:ser>
        <c:ser>
          <c:idx val="9"/>
          <c:order val="9"/>
          <c:tx>
            <c:strRef>
              <c:f>每日进展!$B$12</c:f>
              <c:strCache>
                <c:ptCount val="1"/>
                <c:pt idx="0">
                  <c:v>PBL</c:v>
                </c:pt>
              </c:strCache>
            </c:strRef>
          </c:tx>
          <c:spPr>
            <a:ln>
              <a:solidFill>
                <a:schemeClr val="accent4">
                  <a:lumMod val="60000"/>
                </a:schemeClr>
              </a:solidFill>
              <a:prstDash/>
              <a:headEnd/>
              <a:tailEnd/>
            </a:ln>
          </c:spPr>
          <c:marker>
            <c:symbol val="circle"/>
            <c:size val="5"/>
            <c:spPr>
              <a:solidFill>
                <a:schemeClr val="dk1"/>
              </a:solidFill>
              <a:ln w="9525">
                <a:solidFill>
                  <a:schemeClr val="dk1"/>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每日进展!$C$12:$BD$12</c:f>
              <c:numCache>
                <c:formatCode>0.00%</c:formatCode>
                <c:ptCount val="54"/>
                <c:pt idx="0">
                  <c:v>0</c:v>
                </c:pt>
                <c:pt idx="1">
                  <c:v>0</c:v>
                </c:pt>
                <c:pt idx="2">
                  <c:v>0</c:v>
                </c:pt>
                <c:pt idx="3">
                  <c:v>0</c:v>
                </c:pt>
                <c:pt idx="4">
                  <c:v>3.0999999999999999E-3</c:v>
                </c:pt>
                <c:pt idx="5">
                  <c:v>3.0999999999999999E-3</c:v>
                </c:pt>
                <c:pt idx="6">
                  <c:v>3.0999999999999999E-3</c:v>
                </c:pt>
                <c:pt idx="7">
                  <c:v>3.0999999999999999E-3</c:v>
                </c:pt>
                <c:pt idx="8">
                  <c:v>3.0999999999999999E-3</c:v>
                </c:pt>
                <c:pt idx="9">
                  <c:v>3.0999999999999999E-3</c:v>
                </c:pt>
                <c:pt idx="10">
                  <c:v>3.0999999999999999E-3</c:v>
                </c:pt>
                <c:pt idx="11">
                  <c:v>3.0999999999999999E-3</c:v>
                </c:pt>
                <c:pt idx="12">
                  <c:v>3.0999999999999999E-3</c:v>
                </c:pt>
                <c:pt idx="13">
                  <c:v>3.0999999999999999E-3</c:v>
                </c:pt>
                <c:pt idx="14">
                  <c:v>3.0999999999999999E-3</c:v>
                </c:pt>
                <c:pt idx="15">
                  <c:v>3.0999999999999999E-3</c:v>
                </c:pt>
                <c:pt idx="16">
                  <c:v>3.0999999999999999E-3</c:v>
                </c:pt>
                <c:pt idx="17">
                  <c:v>3.0999999999999999E-3</c:v>
                </c:pt>
                <c:pt idx="18">
                  <c:v>3.0864197530860002E-3</c:v>
                </c:pt>
                <c:pt idx="19">
                  <c:v>3.0864197530860002E-3</c:v>
                </c:pt>
                <c:pt idx="20">
                  <c:v>3.0864197530860002E-3</c:v>
                </c:pt>
                <c:pt idx="21">
                  <c:v>3.0864197530860002E-3</c:v>
                </c:pt>
                <c:pt idx="22">
                  <c:v>3.0864197530860002E-3</c:v>
                </c:pt>
                <c:pt idx="23">
                  <c:v>3.0864197530860002E-3</c:v>
                </c:pt>
                <c:pt idx="24">
                  <c:v>3.0864197530860002E-3</c:v>
                </c:pt>
                <c:pt idx="25">
                  <c:v>3.0864197530860002E-3</c:v>
                </c:pt>
                <c:pt idx="26">
                  <c:v>3.0999999999999999E-3</c:v>
                </c:pt>
                <c:pt idx="27">
                  <c:v>0.12962962962963001</c:v>
                </c:pt>
                <c:pt idx="28">
                  <c:v>0.12962962962963001</c:v>
                </c:pt>
                <c:pt idx="29">
                  <c:v>0.12962962962963001</c:v>
                </c:pt>
                <c:pt idx="30">
                  <c:v>0.25925925925925902</c:v>
                </c:pt>
                <c:pt idx="31">
                  <c:v>0.25929999999999997</c:v>
                </c:pt>
                <c:pt idx="32">
                  <c:v>0.25929999999999997</c:v>
                </c:pt>
                <c:pt idx="33">
                  <c:v>0.25929999999999997</c:v>
                </c:pt>
                <c:pt idx="34">
                  <c:v>0.25925925925925902</c:v>
                </c:pt>
                <c:pt idx="35">
                  <c:v>0.25925925925925902</c:v>
                </c:pt>
                <c:pt idx="36">
                  <c:v>0.25925925925925902</c:v>
                </c:pt>
                <c:pt idx="37">
                  <c:v>0.25925925925925902</c:v>
                </c:pt>
                <c:pt idx="38">
                  <c:v>0.25925925925925902</c:v>
                </c:pt>
                <c:pt idx="39">
                  <c:v>0.25925925925925902</c:v>
                </c:pt>
              </c:numCache>
            </c:numRef>
          </c:val>
          <c:smooth val="0"/>
          <c:extLst>
            <c:ext xmlns:c16="http://schemas.microsoft.com/office/drawing/2014/chart" uri="{C3380CC4-5D6E-409C-BE32-E72D297353CC}">
              <c16:uniqueId val="{00000009-43A3-42FE-8BE2-612AA79A6721}"/>
            </c:ext>
          </c:extLst>
        </c:ser>
        <c:ser>
          <c:idx val="10"/>
          <c:order val="10"/>
          <c:tx>
            <c:strRef>
              <c:f>每日进展!$B$13</c:f>
              <c:strCache>
                <c:ptCount val="1"/>
                <c:pt idx="0">
                  <c:v>DMA</c:v>
                </c:pt>
              </c:strCache>
            </c:strRef>
          </c:tx>
          <c:spPr>
            <a:ln>
              <a:solidFill>
                <a:schemeClr val="accent5">
                  <a:lumMod val="60000"/>
                </a:schemeClr>
              </a:solidFill>
              <a:prstDash/>
              <a:headEnd/>
              <a:tailEnd/>
            </a:ln>
          </c:spPr>
          <c:marker>
            <c:symbol val="circle"/>
            <c:size val="5"/>
            <c:spPr>
              <a:solidFill>
                <a:schemeClr val="lt1"/>
              </a:solidFill>
              <a:ln w="9525">
                <a:solidFill>
                  <a:schemeClr val="lt1"/>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每日进展!$C$13:$BD$13</c:f>
              <c:numCache>
                <c:formatCode>0.00%</c:formatCode>
                <c:ptCount val="54"/>
                <c:pt idx="0">
                  <c:v>0</c:v>
                </c:pt>
                <c:pt idx="1">
                  <c:v>0.47370000000000001</c:v>
                </c:pt>
                <c:pt idx="2">
                  <c:v>0.63160000000000005</c:v>
                </c:pt>
                <c:pt idx="3">
                  <c:v>0.73680000000000001</c:v>
                </c:pt>
                <c:pt idx="4">
                  <c:v>0.89470000000000005</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numCache>
            </c:numRef>
          </c:val>
          <c:smooth val="0"/>
          <c:extLst>
            <c:ext xmlns:c16="http://schemas.microsoft.com/office/drawing/2014/chart" uri="{C3380CC4-5D6E-409C-BE32-E72D297353CC}">
              <c16:uniqueId val="{0000000A-43A3-42FE-8BE2-612AA79A6721}"/>
            </c:ext>
          </c:extLst>
        </c:ser>
        <c:ser>
          <c:idx val="11"/>
          <c:order val="11"/>
          <c:tx>
            <c:strRef>
              <c:f>每日进展!$B$14</c:f>
              <c:strCache>
                <c:ptCount val="1"/>
                <c:pt idx="0">
                  <c:v>管理工具</c:v>
                </c:pt>
              </c:strCache>
            </c:strRef>
          </c:tx>
          <c:spPr>
            <a:ln>
              <a:solidFill>
                <a:schemeClr val="accent6">
                  <a:lumMod val="60000"/>
                </a:schemeClr>
              </a:solidFill>
              <a:prstDash/>
              <a:headEnd/>
              <a:tailEnd/>
            </a:ln>
          </c:spPr>
          <c:marker>
            <c:symbol val="circle"/>
            <c:size val="5"/>
            <c:spPr>
              <a:solidFill>
                <a:schemeClr val="dk2"/>
              </a:solidFill>
              <a:ln w="9525">
                <a:solidFill>
                  <a:schemeClr val="dk2"/>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每日进展!$C$14:$BD$14</c:f>
              <c:numCache>
                <c:formatCode>0.00%</c:formatCode>
                <c:ptCount val="54"/>
                <c:pt idx="0">
                  <c:v>0</c:v>
                </c:pt>
                <c:pt idx="1">
                  <c:v>0</c:v>
                </c:pt>
                <c:pt idx="2">
                  <c:v>0</c:v>
                </c:pt>
                <c:pt idx="3">
                  <c:v>0</c:v>
                </c:pt>
                <c:pt idx="4">
                  <c:v>0</c:v>
                </c:pt>
                <c:pt idx="5">
                  <c:v>4.3999999999999997E-2</c:v>
                </c:pt>
                <c:pt idx="6">
                  <c:v>0.1099</c:v>
                </c:pt>
                <c:pt idx="7">
                  <c:v>0.1099</c:v>
                </c:pt>
                <c:pt idx="8">
                  <c:v>0.1099</c:v>
                </c:pt>
                <c:pt idx="9">
                  <c:v>0.1099</c:v>
                </c:pt>
                <c:pt idx="10">
                  <c:v>0.1099</c:v>
                </c:pt>
                <c:pt idx="11">
                  <c:v>0.1099</c:v>
                </c:pt>
                <c:pt idx="12">
                  <c:v>0.1099</c:v>
                </c:pt>
                <c:pt idx="13">
                  <c:v>0.1099</c:v>
                </c:pt>
                <c:pt idx="14">
                  <c:v>0.1099</c:v>
                </c:pt>
                <c:pt idx="15">
                  <c:v>0.1099</c:v>
                </c:pt>
                <c:pt idx="16">
                  <c:v>0.1099</c:v>
                </c:pt>
                <c:pt idx="17">
                  <c:v>0.1099</c:v>
                </c:pt>
                <c:pt idx="18">
                  <c:v>0.118279569892473</c:v>
                </c:pt>
                <c:pt idx="19">
                  <c:v>0.204301075268817</c:v>
                </c:pt>
                <c:pt idx="20">
                  <c:v>0.204301075268817</c:v>
                </c:pt>
                <c:pt idx="21">
                  <c:v>0.204301075268817</c:v>
                </c:pt>
                <c:pt idx="22">
                  <c:v>0.204301075268817</c:v>
                </c:pt>
                <c:pt idx="23">
                  <c:v>0.225806451612903</c:v>
                </c:pt>
                <c:pt idx="24">
                  <c:v>0.225806451612903</c:v>
                </c:pt>
                <c:pt idx="25">
                  <c:v>0.225806451612903</c:v>
                </c:pt>
                <c:pt idx="26">
                  <c:v>0.2258</c:v>
                </c:pt>
                <c:pt idx="27">
                  <c:v>0.225806451612903</c:v>
                </c:pt>
                <c:pt idx="28">
                  <c:v>0.225806451612903</c:v>
                </c:pt>
                <c:pt idx="29">
                  <c:v>0.225806451612903</c:v>
                </c:pt>
                <c:pt idx="30">
                  <c:v>0.225806451612903</c:v>
                </c:pt>
                <c:pt idx="31">
                  <c:v>0.2258</c:v>
                </c:pt>
                <c:pt idx="32">
                  <c:v>0.2258</c:v>
                </c:pt>
                <c:pt idx="33">
                  <c:v>0.2258</c:v>
                </c:pt>
                <c:pt idx="34">
                  <c:v>0.225806451612903</c:v>
                </c:pt>
                <c:pt idx="35">
                  <c:v>0.225806451612903</c:v>
                </c:pt>
                <c:pt idx="36">
                  <c:v>0.71428571428571397</c:v>
                </c:pt>
                <c:pt idx="37">
                  <c:v>0.71428571428571397</c:v>
                </c:pt>
                <c:pt idx="38">
                  <c:v>0.71428571428571397</c:v>
                </c:pt>
                <c:pt idx="39">
                  <c:v>0.73376623376623396</c:v>
                </c:pt>
              </c:numCache>
            </c:numRef>
          </c:val>
          <c:smooth val="0"/>
          <c:extLst>
            <c:ext xmlns:c16="http://schemas.microsoft.com/office/drawing/2014/chart" uri="{C3380CC4-5D6E-409C-BE32-E72D297353CC}">
              <c16:uniqueId val="{0000000B-43A3-42FE-8BE2-612AA79A6721}"/>
            </c:ext>
          </c:extLst>
        </c:ser>
        <c:ser>
          <c:idx val="12"/>
          <c:order val="12"/>
          <c:tx>
            <c:strRef>
              <c:f>每日进展!$B$15</c:f>
              <c:strCache>
                <c:ptCount val="1"/>
                <c:pt idx="0">
                  <c:v>兼容性</c:v>
                </c:pt>
              </c:strCache>
            </c:strRef>
          </c:tx>
          <c:spPr>
            <a:ln>
              <a:solidFill>
                <a:schemeClr val="accent1">
                  <a:lumMod val="80000"/>
                </a:schemeClr>
              </a:solidFill>
              <a:prstDash/>
              <a:headEnd/>
              <a:tailEnd/>
            </a:ln>
          </c:spPr>
          <c:marker>
            <c:symbol val="circle"/>
            <c:size val="5"/>
            <c:spPr>
              <a:solidFill>
                <a:schemeClr val="lt2"/>
              </a:solidFill>
              <a:ln w="9525">
                <a:solidFill>
                  <a:schemeClr val="lt2"/>
                </a:solidFill>
              </a:ln>
            </c:spPr>
          </c:marker>
          <c:dLbls>
            <c:numFmt formatCode="0.00%" sourceLinked="0"/>
            <c:spPr>
              <a:noFill/>
              <a:ln>
                <a:noFill/>
              </a:ln>
              <a:effectLst/>
            </c:spPr>
            <c:txPr>
              <a:bodyPr/>
              <a:lstStyle/>
              <a:p>
                <a:pPr>
                  <a:defRPr b="0" i="0">
                    <a:solidFill>
                      <a:srgbClr val="000000"/>
                    </a:solidFill>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每日进展!$C$2:$BD$2</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每日进展!$C$15:$BD$15</c:f>
              <c:numCache>
                <c:formatCode>0.00%</c:formatCode>
                <c:ptCount val="54"/>
                <c:pt idx="0">
                  <c:v>0</c:v>
                </c:pt>
                <c:pt idx="1">
                  <c:v>0.42420000000000002</c:v>
                </c:pt>
                <c:pt idx="2">
                  <c:v>0.42420000000000002</c:v>
                </c:pt>
                <c:pt idx="3">
                  <c:v>0.42420000000000002</c:v>
                </c:pt>
                <c:pt idx="4">
                  <c:v>0.42420000000000002</c:v>
                </c:pt>
                <c:pt idx="5">
                  <c:v>0.42420000000000002</c:v>
                </c:pt>
                <c:pt idx="6">
                  <c:v>0.42420000000000002</c:v>
                </c:pt>
                <c:pt idx="7">
                  <c:v>0.42420000000000002</c:v>
                </c:pt>
                <c:pt idx="8">
                  <c:v>0.42420000000000002</c:v>
                </c:pt>
                <c:pt idx="9">
                  <c:v>0.42420000000000002</c:v>
                </c:pt>
                <c:pt idx="10">
                  <c:v>0.42420000000000002</c:v>
                </c:pt>
                <c:pt idx="11">
                  <c:v>0.42420000000000002</c:v>
                </c:pt>
                <c:pt idx="12">
                  <c:v>0.42420000000000002</c:v>
                </c:pt>
                <c:pt idx="13">
                  <c:v>0.42420000000000002</c:v>
                </c:pt>
                <c:pt idx="14">
                  <c:v>0.51519999999999999</c:v>
                </c:pt>
                <c:pt idx="15">
                  <c:v>0.51519999999999999</c:v>
                </c:pt>
                <c:pt idx="16">
                  <c:v>0.51519999999999999</c:v>
                </c:pt>
                <c:pt idx="17">
                  <c:v>0.51519999999999999</c:v>
                </c:pt>
                <c:pt idx="18">
                  <c:v>0.51515151515151503</c:v>
                </c:pt>
                <c:pt idx="19">
                  <c:v>0.51515151515151503</c:v>
                </c:pt>
                <c:pt idx="20">
                  <c:v>0.51515151515151503</c:v>
                </c:pt>
                <c:pt idx="21">
                  <c:v>0.51515151515151503</c:v>
                </c:pt>
                <c:pt idx="22">
                  <c:v>0.51515151515151503</c:v>
                </c:pt>
                <c:pt idx="23">
                  <c:v>0.51515151515151503</c:v>
                </c:pt>
                <c:pt idx="24">
                  <c:v>0.54545454545454597</c:v>
                </c:pt>
                <c:pt idx="25">
                  <c:v>0.54545454545454597</c:v>
                </c:pt>
                <c:pt idx="26">
                  <c:v>0.57579999999999998</c:v>
                </c:pt>
                <c:pt idx="27">
                  <c:v>0.84848484848484895</c:v>
                </c:pt>
                <c:pt idx="28">
                  <c:v>0.87878787878787901</c:v>
                </c:pt>
                <c:pt idx="29">
                  <c:v>0.87878787878787901</c:v>
                </c:pt>
                <c:pt idx="30">
                  <c:v>0.87878787878787901</c:v>
                </c:pt>
                <c:pt idx="31">
                  <c:v>0.87880000000000003</c:v>
                </c:pt>
                <c:pt idx="32">
                  <c:v>0.87880000000000003</c:v>
                </c:pt>
                <c:pt idx="33">
                  <c:v>0.87880000000000003</c:v>
                </c:pt>
                <c:pt idx="34">
                  <c:v>0.87878787878787901</c:v>
                </c:pt>
                <c:pt idx="35">
                  <c:v>0.87878787878787901</c:v>
                </c:pt>
                <c:pt idx="36">
                  <c:v>0.87878787878787901</c:v>
                </c:pt>
                <c:pt idx="37">
                  <c:v>0.87878787878787901</c:v>
                </c:pt>
                <c:pt idx="38">
                  <c:v>0.87878787878787901</c:v>
                </c:pt>
                <c:pt idx="39">
                  <c:v>0.87878787878787901</c:v>
                </c:pt>
              </c:numCache>
            </c:numRef>
          </c:val>
          <c:smooth val="0"/>
          <c:extLst>
            <c:ext xmlns:c16="http://schemas.microsoft.com/office/drawing/2014/chart" uri="{C3380CC4-5D6E-409C-BE32-E72D297353CC}">
              <c16:uniqueId val="{0000000C-43A3-42FE-8BE2-612AA79A6721}"/>
            </c:ext>
          </c:extLst>
        </c:ser>
        <c:dLbls>
          <c:dLblPos val="t"/>
          <c:showLegendKey val="0"/>
          <c:showVal val="1"/>
          <c:showCatName val="0"/>
          <c:showSerName val="0"/>
          <c:showPercent val="0"/>
          <c:showBubbleSize val="0"/>
          <c:separator>,</c:separator>
        </c:dLbls>
        <c:marker val="1"/>
        <c:smooth val="0"/>
        <c:axId val="606051330"/>
        <c:axId val="365892077"/>
      </c:lineChart>
      <c:dateAx>
        <c:axId val="606051330"/>
        <c:scaling>
          <c:orientation val="minMax"/>
        </c:scaling>
        <c:delete val="0"/>
        <c:axPos val="b"/>
        <c:numFmt formatCode="m/d/yyyy" sourceLinked="1"/>
        <c:majorTickMark val="cross"/>
        <c:minorTickMark val="cross"/>
        <c:tickLblPos val="nextTo"/>
        <c:txPr>
          <a:bodyPr/>
          <a:lstStyle/>
          <a:p>
            <a:pPr>
              <a:defRPr b="0" i="0"/>
            </a:pPr>
            <a:endParaRPr lang="zh-CN"/>
          </a:p>
        </c:txPr>
        <c:crossAx val="365892077"/>
        <c:crosses val="autoZero"/>
        <c:auto val="1"/>
        <c:lblOffset val="100"/>
        <c:baseTimeUnit val="days"/>
      </c:dateAx>
      <c:valAx>
        <c:axId val="365892077"/>
        <c:scaling>
          <c:orientation val="minMax"/>
          <c:max val="1"/>
        </c:scaling>
        <c:delete val="0"/>
        <c:axPos val="l"/>
        <c:numFmt formatCode="0.00%" sourceLinked="0"/>
        <c:majorTickMark val="cross"/>
        <c:minorTickMark val="cross"/>
        <c:tickLblPos val="nextTo"/>
        <c:txPr>
          <a:bodyPr/>
          <a:lstStyle/>
          <a:p>
            <a:pPr>
              <a:defRPr b="0" i="0"/>
            </a:pPr>
            <a:endParaRPr lang="zh-CN"/>
          </a:p>
        </c:txPr>
        <c:crossAx val="606051330"/>
        <c:crosses val="autoZero"/>
        <c:crossBetween val="between"/>
      </c:valAx>
    </c:plotArea>
    <c:legend>
      <c:legendPos val="l"/>
      <c:overlay val="0"/>
      <c:txPr>
        <a:bodyPr/>
        <a:lstStyle/>
        <a:p>
          <a:pPr>
            <a:defRPr b="0" i="0"/>
          </a:pPr>
          <a:endParaRPr lang="zh-CN"/>
        </a:p>
      </c:txPr>
    </c:legend>
    <c:plotVisOnly val="1"/>
    <c:dispBlanksAs val="zero"/>
    <c:showDLblsOverMax val="1"/>
  </c:chart>
  <c:spPr>
    <a:solidFill>
      <a:schemeClr val="bg1"/>
    </a:solidFill>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1"/>
  <c:style val="2"/>
  <c:chart>
    <c:title>
      <c:tx>
        <c:rich>
          <a:bodyPr/>
          <a:lstStyle/>
          <a:p>
            <a:pPr>
              <a:defRPr sz="1200" b="1" i="0">
                <a:latin typeface="Microsoft YaHei"/>
              </a:defRPr>
            </a:pPr>
            <a:r>
              <a:t>Yundu回片基础模式执行率</a:t>
            </a:r>
          </a:p>
        </c:rich>
      </c:tx>
      <c:overlay val="1"/>
    </c:title>
    <c:autoTitleDeleted val="0"/>
    <c:plotArea>
      <c:layout/>
      <c:lineChart>
        <c:grouping val="standard"/>
        <c:varyColors val="1"/>
        <c:ser>
          <c:idx val="0"/>
          <c:order val="0"/>
          <c:tx>
            <c:strRef>
              <c:f>每日进展!$B$49</c:f>
              <c:strCache>
                <c:ptCount val="1"/>
                <c:pt idx="0">
                  <c:v>fanout</c:v>
                </c:pt>
              </c:strCache>
            </c:strRef>
          </c:tx>
          <c:spPr>
            <a:ln>
              <a:solidFill>
                <a:schemeClr val="accent2"/>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每日进展!$C$49:$BD$49</c:f>
              <c:numCache>
                <c:formatCode>0.00%</c:formatCode>
                <c:ptCount val="54"/>
                <c:pt idx="0">
                  <c:v>0</c:v>
                </c:pt>
                <c:pt idx="1">
                  <c:v>0</c:v>
                </c:pt>
                <c:pt idx="2">
                  <c:v>6.25E-2</c:v>
                </c:pt>
                <c:pt idx="3">
                  <c:v>6.25E-2</c:v>
                </c:pt>
                <c:pt idx="4">
                  <c:v>6.25E-2</c:v>
                </c:pt>
                <c:pt idx="5">
                  <c:v>6.25E-2</c:v>
                </c:pt>
                <c:pt idx="6">
                  <c:v>6.25E-2</c:v>
                </c:pt>
                <c:pt idx="7">
                  <c:v>6.25E-2</c:v>
                </c:pt>
                <c:pt idx="8">
                  <c:v>6.25E-2</c:v>
                </c:pt>
                <c:pt idx="9">
                  <c:v>6.25E-2</c:v>
                </c:pt>
                <c:pt idx="10">
                  <c:v>6.25E-2</c:v>
                </c:pt>
                <c:pt idx="11">
                  <c:v>6.25E-2</c:v>
                </c:pt>
                <c:pt idx="12">
                  <c:v>6.25E-2</c:v>
                </c:pt>
                <c:pt idx="13">
                  <c:v>6.25E-2</c:v>
                </c:pt>
                <c:pt idx="14">
                  <c:v>6.25E-2</c:v>
                </c:pt>
                <c:pt idx="15">
                  <c:v>6.25E-2</c:v>
                </c:pt>
                <c:pt idx="16">
                  <c:v>6.25E-2</c:v>
                </c:pt>
                <c:pt idx="17">
                  <c:v>6.25E-2</c:v>
                </c:pt>
                <c:pt idx="18">
                  <c:v>6.25E-2</c:v>
                </c:pt>
                <c:pt idx="19">
                  <c:v>6.25E-2</c:v>
                </c:pt>
                <c:pt idx="20">
                  <c:v>6.25E-2</c:v>
                </c:pt>
                <c:pt idx="21">
                  <c:v>6.25E-2</c:v>
                </c:pt>
                <c:pt idx="22">
                  <c:v>6.25E-2</c:v>
                </c:pt>
                <c:pt idx="23">
                  <c:v>6.25E-2</c:v>
                </c:pt>
                <c:pt idx="24">
                  <c:v>6.25E-2</c:v>
                </c:pt>
                <c:pt idx="25">
                  <c:v>6.25E-2</c:v>
                </c:pt>
                <c:pt idx="26">
                  <c:v>6.25E-2</c:v>
                </c:pt>
                <c:pt idx="27">
                  <c:v>6.25E-2</c:v>
                </c:pt>
                <c:pt idx="28">
                  <c:v>6.25E-2</c:v>
                </c:pt>
                <c:pt idx="29">
                  <c:v>6.25E-2</c:v>
                </c:pt>
                <c:pt idx="30">
                  <c:v>6.25E-2</c:v>
                </c:pt>
                <c:pt idx="31">
                  <c:v>6.25E-2</c:v>
                </c:pt>
                <c:pt idx="32">
                  <c:v>6.25E-2</c:v>
                </c:pt>
                <c:pt idx="33">
                  <c:v>6.25E-2</c:v>
                </c:pt>
                <c:pt idx="34">
                  <c:v>6.25E-2</c:v>
                </c:pt>
                <c:pt idx="35">
                  <c:v>0.4</c:v>
                </c:pt>
                <c:pt idx="36">
                  <c:v>0.4</c:v>
                </c:pt>
                <c:pt idx="37">
                  <c:v>0.4</c:v>
                </c:pt>
                <c:pt idx="38">
                  <c:v>0.4</c:v>
                </c:pt>
                <c:pt idx="39">
                  <c:v>0.4</c:v>
                </c:pt>
              </c:numCache>
            </c:numRef>
          </c:val>
          <c:smooth val="0"/>
          <c:extLst>
            <c:ext xmlns:c16="http://schemas.microsoft.com/office/drawing/2014/chart" uri="{C3380CC4-5D6E-409C-BE32-E72D297353CC}">
              <c16:uniqueId val="{00000000-19C2-4EB4-B21A-7EA94CED24BA}"/>
            </c:ext>
          </c:extLst>
        </c:ser>
        <c:ser>
          <c:idx val="1"/>
          <c:order val="1"/>
          <c:tx>
            <c:strRef>
              <c:f>每日进展!$B$50</c:f>
              <c:strCache>
                <c:ptCount val="1"/>
                <c:pt idx="0">
                  <c:v>AI场景</c:v>
                </c:pt>
              </c:strCache>
            </c:strRef>
          </c:tx>
          <c:spPr>
            <a:ln>
              <a:solidFill>
                <a:schemeClr val="accent4"/>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每日进展!$C$50:$BD$50</c:f>
              <c:numCache>
                <c:formatCode>0.00%</c:formatCode>
                <c:ptCount val="54"/>
                <c:pt idx="0">
                  <c:v>0</c:v>
                </c:pt>
                <c:pt idx="1">
                  <c:v>0</c:v>
                </c:pt>
                <c:pt idx="2">
                  <c:v>0.18640000000000001</c:v>
                </c:pt>
                <c:pt idx="3">
                  <c:v>0.22033898305084701</c:v>
                </c:pt>
                <c:pt idx="4">
                  <c:v>0.23728813559322001</c:v>
                </c:pt>
                <c:pt idx="5">
                  <c:v>0.23730000000000001</c:v>
                </c:pt>
                <c:pt idx="6">
                  <c:v>0.25423728813559299</c:v>
                </c:pt>
                <c:pt idx="7">
                  <c:v>0.37288135593220301</c:v>
                </c:pt>
                <c:pt idx="8">
                  <c:v>0.47457627118644102</c:v>
                </c:pt>
                <c:pt idx="9">
                  <c:v>0.47457627118644102</c:v>
                </c:pt>
                <c:pt idx="10">
                  <c:v>0.47457627118644102</c:v>
                </c:pt>
                <c:pt idx="11">
                  <c:v>0.47457627118644102</c:v>
                </c:pt>
                <c:pt idx="12">
                  <c:v>0.47457627118644102</c:v>
                </c:pt>
                <c:pt idx="13">
                  <c:v>0.49541278</c:v>
                </c:pt>
                <c:pt idx="14">
                  <c:v>0.52500000000000002</c:v>
                </c:pt>
                <c:pt idx="15">
                  <c:v>0.52500000000000002</c:v>
                </c:pt>
                <c:pt idx="16">
                  <c:v>0.52500000000000002</c:v>
                </c:pt>
                <c:pt idx="17">
                  <c:v>0.56410256410256399</c:v>
                </c:pt>
                <c:pt idx="18">
                  <c:v>0.58974358974358998</c:v>
                </c:pt>
                <c:pt idx="19">
                  <c:v>0.58974358974358998</c:v>
                </c:pt>
                <c:pt idx="20">
                  <c:v>0.58974358974358998</c:v>
                </c:pt>
                <c:pt idx="21">
                  <c:v>0.58974358974358998</c:v>
                </c:pt>
                <c:pt idx="22">
                  <c:v>0.58974358974358998</c:v>
                </c:pt>
                <c:pt idx="23">
                  <c:v>0.58974358974358998</c:v>
                </c:pt>
                <c:pt idx="24">
                  <c:v>0.58974358974358998</c:v>
                </c:pt>
                <c:pt idx="25">
                  <c:v>0.5897</c:v>
                </c:pt>
                <c:pt idx="26">
                  <c:v>0.5897</c:v>
                </c:pt>
                <c:pt idx="27">
                  <c:v>0.58974358974358998</c:v>
                </c:pt>
                <c:pt idx="28">
                  <c:v>0.60526315789473695</c:v>
                </c:pt>
                <c:pt idx="29">
                  <c:v>0.60526315789473695</c:v>
                </c:pt>
                <c:pt idx="30">
                  <c:v>0.60526315789473695</c:v>
                </c:pt>
                <c:pt idx="31">
                  <c:v>0.60529999999999995</c:v>
                </c:pt>
                <c:pt idx="32">
                  <c:v>0.60529999999999995</c:v>
                </c:pt>
                <c:pt idx="33">
                  <c:v>0.60529999999999995</c:v>
                </c:pt>
                <c:pt idx="34">
                  <c:v>0.60526315789473695</c:v>
                </c:pt>
                <c:pt idx="35">
                  <c:v>0.60526315789473695</c:v>
                </c:pt>
                <c:pt idx="36">
                  <c:v>0.60526315789473695</c:v>
                </c:pt>
                <c:pt idx="37">
                  <c:v>0.60526315789473695</c:v>
                </c:pt>
                <c:pt idx="38">
                  <c:v>0.60526315789473695</c:v>
                </c:pt>
                <c:pt idx="39">
                  <c:v>0.60526315789473695</c:v>
                </c:pt>
              </c:numCache>
            </c:numRef>
          </c:val>
          <c:smooth val="0"/>
          <c:extLst>
            <c:ext xmlns:c16="http://schemas.microsoft.com/office/drawing/2014/chart" uri="{C3380CC4-5D6E-409C-BE32-E72D297353CC}">
              <c16:uniqueId val="{00000001-19C2-4EB4-B21A-7EA94CED24BA}"/>
            </c:ext>
          </c:extLst>
        </c:ser>
        <c:ser>
          <c:idx val="2"/>
          <c:order val="2"/>
          <c:tx>
            <c:strRef>
              <c:f>每日进展!$B$51</c:f>
              <c:strCache>
                <c:ptCount val="1"/>
                <c:pt idx="0">
                  <c:v>存储场景</c:v>
                </c:pt>
              </c:strCache>
            </c:strRef>
          </c:tx>
          <c:spPr>
            <a:ln>
              <a:solidFill>
                <a:schemeClr val="accent6"/>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每日进展!$C$51:$BD$51</c:f>
              <c:numCache>
                <c:formatCode>0.00%</c:formatCode>
                <c:ptCount val="54"/>
                <c:pt idx="0">
                  <c:v>0</c:v>
                </c:pt>
                <c:pt idx="1">
                  <c:v>0.39389999999999997</c:v>
                </c:pt>
                <c:pt idx="2">
                  <c:v>0.45</c:v>
                </c:pt>
                <c:pt idx="3">
                  <c:v>0.45</c:v>
                </c:pt>
                <c:pt idx="4">
                  <c:v>0.45454545454545497</c:v>
                </c:pt>
                <c:pt idx="5">
                  <c:v>0.5333</c:v>
                </c:pt>
                <c:pt idx="6">
                  <c:v>0.53333333333333299</c:v>
                </c:pt>
                <c:pt idx="7">
                  <c:v>0.53333333333333299</c:v>
                </c:pt>
                <c:pt idx="8">
                  <c:v>0.53333333333333299</c:v>
                </c:pt>
                <c:pt idx="9">
                  <c:v>0.56666666666666698</c:v>
                </c:pt>
                <c:pt idx="10">
                  <c:v>0.56666666666666698</c:v>
                </c:pt>
                <c:pt idx="11">
                  <c:v>0.56666666666666698</c:v>
                </c:pt>
                <c:pt idx="12">
                  <c:v>0.56666666666666698</c:v>
                </c:pt>
                <c:pt idx="13">
                  <c:v>0.56666666666666698</c:v>
                </c:pt>
                <c:pt idx="14">
                  <c:v>0.56666666666666698</c:v>
                </c:pt>
                <c:pt idx="15">
                  <c:v>0.63333333333333297</c:v>
                </c:pt>
                <c:pt idx="16">
                  <c:v>0.63333333333333297</c:v>
                </c:pt>
                <c:pt idx="17">
                  <c:v>0.63333333333333297</c:v>
                </c:pt>
                <c:pt idx="18">
                  <c:v>0.63333333333333297</c:v>
                </c:pt>
                <c:pt idx="19">
                  <c:v>0.63333333333333297</c:v>
                </c:pt>
                <c:pt idx="20">
                  <c:v>0.63333333333333297</c:v>
                </c:pt>
                <c:pt idx="21">
                  <c:v>0.63333333333333297</c:v>
                </c:pt>
                <c:pt idx="22">
                  <c:v>0.63333333333333297</c:v>
                </c:pt>
                <c:pt idx="23">
                  <c:v>0.63333333333333297</c:v>
                </c:pt>
                <c:pt idx="24">
                  <c:v>0.66666666666666696</c:v>
                </c:pt>
                <c:pt idx="25">
                  <c:v>0.66669999999999996</c:v>
                </c:pt>
                <c:pt idx="26">
                  <c:v>0.66669999999999996</c:v>
                </c:pt>
                <c:pt idx="27">
                  <c:v>0.66666666666666696</c:v>
                </c:pt>
                <c:pt idx="28">
                  <c:v>0.66666666666666696</c:v>
                </c:pt>
                <c:pt idx="29">
                  <c:v>0.66666666666666696</c:v>
                </c:pt>
                <c:pt idx="30">
                  <c:v>0.66666666666666696</c:v>
                </c:pt>
                <c:pt idx="31">
                  <c:v>0.66669999999999996</c:v>
                </c:pt>
                <c:pt idx="32">
                  <c:v>0.66669999999999996</c:v>
                </c:pt>
                <c:pt idx="33">
                  <c:v>0.66669999999999996</c:v>
                </c:pt>
                <c:pt idx="34">
                  <c:v>0.66666666666666696</c:v>
                </c:pt>
                <c:pt idx="35">
                  <c:v>0.66666666666666696</c:v>
                </c:pt>
                <c:pt idx="36">
                  <c:v>0.66666666666666696</c:v>
                </c:pt>
                <c:pt idx="37">
                  <c:v>0.66666666666666696</c:v>
                </c:pt>
                <c:pt idx="38">
                  <c:v>0.66666666666666696</c:v>
                </c:pt>
                <c:pt idx="39">
                  <c:v>0.66666666666666696</c:v>
                </c:pt>
              </c:numCache>
            </c:numRef>
          </c:val>
          <c:smooth val="0"/>
          <c:extLst>
            <c:ext xmlns:c16="http://schemas.microsoft.com/office/drawing/2014/chart" uri="{C3380CC4-5D6E-409C-BE32-E72D297353CC}">
              <c16:uniqueId val="{00000002-19C2-4EB4-B21A-7EA94CED24BA}"/>
            </c:ext>
          </c:extLst>
        </c:ser>
        <c:ser>
          <c:idx val="3"/>
          <c:order val="3"/>
          <c:tx>
            <c:strRef>
              <c:f>每日进展!$B$52</c:f>
              <c:strCache>
                <c:ptCount val="1"/>
                <c:pt idx="0">
                  <c:v>网络场景</c:v>
                </c:pt>
              </c:strCache>
            </c:strRef>
          </c:tx>
          <c:spPr>
            <a:ln>
              <a:solidFill>
                <a:schemeClr val="accent2">
                  <a:lumMod val="60000"/>
                </a:schemeClr>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每日进展!$C$52:$BD$52</c:f>
              <c:numCache>
                <c:formatCode>0.00%</c:formatCode>
                <c:ptCount val="54"/>
                <c:pt idx="0">
                  <c:v>0</c:v>
                </c:pt>
                <c:pt idx="1">
                  <c:v>0.1389</c:v>
                </c:pt>
                <c:pt idx="2">
                  <c:v>0.16669999999999999</c:v>
                </c:pt>
                <c:pt idx="3">
                  <c:v>0.38888888888888901</c:v>
                </c:pt>
                <c:pt idx="4">
                  <c:v>0.54545454545454597</c:v>
                </c:pt>
                <c:pt idx="5">
                  <c:v>0.60606060606060597</c:v>
                </c:pt>
                <c:pt idx="6">
                  <c:v>0.63636363636363702</c:v>
                </c:pt>
                <c:pt idx="7">
                  <c:v>0.69696969696969702</c:v>
                </c:pt>
                <c:pt idx="8">
                  <c:v>0.69696969696969702</c:v>
                </c:pt>
                <c:pt idx="9">
                  <c:v>0.69696969696969702</c:v>
                </c:pt>
                <c:pt idx="10">
                  <c:v>0.69696969696969702</c:v>
                </c:pt>
                <c:pt idx="11">
                  <c:v>0.69696969696969702</c:v>
                </c:pt>
                <c:pt idx="12">
                  <c:v>0.69696969696969702</c:v>
                </c:pt>
                <c:pt idx="13">
                  <c:v>0.69696969696969702</c:v>
                </c:pt>
                <c:pt idx="14">
                  <c:v>0.69696969696969702</c:v>
                </c:pt>
                <c:pt idx="15">
                  <c:v>0.69696969696969702</c:v>
                </c:pt>
                <c:pt idx="16">
                  <c:v>0.69696969696969702</c:v>
                </c:pt>
                <c:pt idx="17">
                  <c:v>0.69696969696969702</c:v>
                </c:pt>
                <c:pt idx="18">
                  <c:v>0.69696969696969702</c:v>
                </c:pt>
                <c:pt idx="19">
                  <c:v>0.69696969696969702</c:v>
                </c:pt>
                <c:pt idx="20">
                  <c:v>0.69696969696969702</c:v>
                </c:pt>
                <c:pt idx="21">
                  <c:v>0.69696969696969702</c:v>
                </c:pt>
                <c:pt idx="22">
                  <c:v>0.69696969696969702</c:v>
                </c:pt>
                <c:pt idx="23">
                  <c:v>0.69696969696969702</c:v>
                </c:pt>
                <c:pt idx="24">
                  <c:v>0.72727272727272696</c:v>
                </c:pt>
                <c:pt idx="25">
                  <c:v>0.72729999999999995</c:v>
                </c:pt>
                <c:pt idx="26">
                  <c:v>0.72729999999999995</c:v>
                </c:pt>
                <c:pt idx="27">
                  <c:v>0.72727272727272696</c:v>
                </c:pt>
                <c:pt idx="28">
                  <c:v>0.72727272727272696</c:v>
                </c:pt>
                <c:pt idx="29">
                  <c:v>0.72727272727272696</c:v>
                </c:pt>
                <c:pt idx="30">
                  <c:v>0.72727272727272696</c:v>
                </c:pt>
                <c:pt idx="31">
                  <c:v>0.72729999999999995</c:v>
                </c:pt>
                <c:pt idx="32">
                  <c:v>0.72729999999999995</c:v>
                </c:pt>
                <c:pt idx="33">
                  <c:v>0.72729999999999995</c:v>
                </c:pt>
                <c:pt idx="34">
                  <c:v>0.72727272727272696</c:v>
                </c:pt>
                <c:pt idx="35">
                  <c:v>0.72727272727272696</c:v>
                </c:pt>
                <c:pt idx="36">
                  <c:v>0.72727272727272696</c:v>
                </c:pt>
                <c:pt idx="37">
                  <c:v>0.72727272727272696</c:v>
                </c:pt>
                <c:pt idx="38">
                  <c:v>0.72727272727272696</c:v>
                </c:pt>
                <c:pt idx="39">
                  <c:v>0.72727272727272696</c:v>
                </c:pt>
              </c:numCache>
            </c:numRef>
          </c:val>
          <c:smooth val="0"/>
          <c:extLst>
            <c:ext xmlns:c16="http://schemas.microsoft.com/office/drawing/2014/chart" uri="{C3380CC4-5D6E-409C-BE32-E72D297353CC}">
              <c16:uniqueId val="{00000003-19C2-4EB4-B21A-7EA94CED24BA}"/>
            </c:ext>
          </c:extLst>
        </c:ser>
        <c:ser>
          <c:idx val="4"/>
          <c:order val="4"/>
          <c:tx>
            <c:strRef>
              <c:f>每日进展!$B$53</c:f>
              <c:strCache>
                <c:ptCount val="1"/>
                <c:pt idx="0">
                  <c:v>压力测试</c:v>
                </c:pt>
              </c:strCache>
            </c:strRef>
          </c:tx>
          <c:spPr>
            <a:ln>
              <a:solidFill>
                <a:schemeClr val="accent4">
                  <a:lumMod val="60000"/>
                </a:schemeClr>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每日进展!$C$53:$BD$53</c:f>
              <c:numCache>
                <c:formatCode>0.00%</c:formatCode>
                <c:ptCount val="5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numCache>
            </c:numRef>
          </c:val>
          <c:smooth val="0"/>
          <c:extLst>
            <c:ext xmlns:c16="http://schemas.microsoft.com/office/drawing/2014/chart" uri="{C3380CC4-5D6E-409C-BE32-E72D297353CC}">
              <c16:uniqueId val="{00000004-19C2-4EB4-B21A-7EA94CED24BA}"/>
            </c:ext>
          </c:extLst>
        </c:ser>
        <c:ser>
          <c:idx val="5"/>
          <c:order val="5"/>
          <c:tx>
            <c:strRef>
              <c:f>每日进展!$B$54</c:f>
              <c:strCache>
                <c:ptCount val="1"/>
                <c:pt idx="0">
                  <c:v>协议类测试</c:v>
                </c:pt>
              </c:strCache>
            </c:strRef>
          </c:tx>
          <c:spPr>
            <a:ln>
              <a:solidFill>
                <a:schemeClr val="accent6">
                  <a:lumMod val="60000"/>
                </a:schemeClr>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每日进展!$C$54:$BD$54</c:f>
              <c:numCache>
                <c:formatCode>0.00%</c:formatCode>
                <c:ptCount val="54"/>
                <c:pt idx="0">
                  <c:v>0</c:v>
                </c:pt>
                <c:pt idx="1">
                  <c:v>3.85E-2</c:v>
                </c:pt>
                <c:pt idx="2">
                  <c:v>4.8599999999999997E-2</c:v>
                </c:pt>
                <c:pt idx="3">
                  <c:v>4.8582995951416998E-2</c:v>
                </c:pt>
                <c:pt idx="4">
                  <c:v>9.3117408906882998E-2</c:v>
                </c:pt>
                <c:pt idx="5">
                  <c:v>0.1149</c:v>
                </c:pt>
                <c:pt idx="6">
                  <c:v>0.114893617021277</c:v>
                </c:pt>
                <c:pt idx="7">
                  <c:v>0.114893617021277</c:v>
                </c:pt>
                <c:pt idx="8">
                  <c:v>0.11914893617021299</c:v>
                </c:pt>
                <c:pt idx="9">
                  <c:v>0.14893617021276601</c:v>
                </c:pt>
                <c:pt idx="10">
                  <c:v>0.177966101694915</c:v>
                </c:pt>
                <c:pt idx="11">
                  <c:v>0.18654699999999999</c:v>
                </c:pt>
                <c:pt idx="12">
                  <c:v>0.194915254237288</c:v>
                </c:pt>
                <c:pt idx="13">
                  <c:v>0.19850000000000001</c:v>
                </c:pt>
                <c:pt idx="14">
                  <c:v>0.20338983050847501</c:v>
                </c:pt>
                <c:pt idx="15">
                  <c:v>0.233050847457627</c:v>
                </c:pt>
                <c:pt idx="16">
                  <c:v>0.268085106382979</c:v>
                </c:pt>
                <c:pt idx="17">
                  <c:v>0.32765957446808502</c:v>
                </c:pt>
                <c:pt idx="18">
                  <c:v>0.32765957446808502</c:v>
                </c:pt>
                <c:pt idx="19">
                  <c:v>0.32765957446808502</c:v>
                </c:pt>
                <c:pt idx="20">
                  <c:v>0.32765957446808502</c:v>
                </c:pt>
                <c:pt idx="21">
                  <c:v>0.32765957446808502</c:v>
                </c:pt>
                <c:pt idx="22">
                  <c:v>0.32765957446808502</c:v>
                </c:pt>
                <c:pt idx="23">
                  <c:v>0.32765957446808502</c:v>
                </c:pt>
                <c:pt idx="24">
                  <c:v>0.33333333333333298</c:v>
                </c:pt>
                <c:pt idx="25">
                  <c:v>0.33329999999999999</c:v>
                </c:pt>
                <c:pt idx="26">
                  <c:v>0.33329999999999999</c:v>
                </c:pt>
                <c:pt idx="27">
                  <c:v>0.33333333333333298</c:v>
                </c:pt>
                <c:pt idx="28">
                  <c:v>0.34334763948497898</c:v>
                </c:pt>
                <c:pt idx="29">
                  <c:v>0.34334763948497898</c:v>
                </c:pt>
                <c:pt idx="30">
                  <c:v>0.34334763948497898</c:v>
                </c:pt>
                <c:pt idx="31">
                  <c:v>0.34329999999999999</c:v>
                </c:pt>
                <c:pt idx="32">
                  <c:v>0.34329999999999999</c:v>
                </c:pt>
                <c:pt idx="33">
                  <c:v>0.34329999999999999</c:v>
                </c:pt>
                <c:pt idx="34">
                  <c:v>0.34334763948497898</c:v>
                </c:pt>
                <c:pt idx="35">
                  <c:v>0.34763948497854102</c:v>
                </c:pt>
                <c:pt idx="36">
                  <c:v>0.34763948497854102</c:v>
                </c:pt>
                <c:pt idx="37">
                  <c:v>0.36051502145922798</c:v>
                </c:pt>
                <c:pt idx="38">
                  <c:v>0.36051502145922798</c:v>
                </c:pt>
                <c:pt idx="39">
                  <c:v>0.40585774058577401</c:v>
                </c:pt>
              </c:numCache>
            </c:numRef>
          </c:val>
          <c:smooth val="0"/>
          <c:extLst>
            <c:ext xmlns:c16="http://schemas.microsoft.com/office/drawing/2014/chart" uri="{C3380CC4-5D6E-409C-BE32-E72D297353CC}">
              <c16:uniqueId val="{00000005-19C2-4EB4-B21A-7EA94CED24BA}"/>
            </c:ext>
          </c:extLst>
        </c:ser>
        <c:ser>
          <c:idx val="6"/>
          <c:order val="6"/>
          <c:tx>
            <c:strRef>
              <c:f>每日进展!$B$55</c:f>
              <c:strCache>
                <c:ptCount val="1"/>
                <c:pt idx="0">
                  <c:v>PCISIG</c:v>
                </c:pt>
              </c:strCache>
            </c:strRef>
          </c:tx>
          <c:spPr>
            <a:ln>
              <a:solidFill>
                <a:schemeClr val="accent2">
                  <a:lumMod val="80000"/>
                </a:schemeClr>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每日进展!$C$55:$BD$55</c:f>
              <c:numCache>
                <c:formatCode>0.00%</c:formatCode>
                <c:ptCount val="5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numCache>
            </c:numRef>
          </c:val>
          <c:smooth val="0"/>
          <c:extLst>
            <c:ext xmlns:c16="http://schemas.microsoft.com/office/drawing/2014/chart" uri="{C3380CC4-5D6E-409C-BE32-E72D297353CC}">
              <c16:uniqueId val="{00000006-19C2-4EB4-B21A-7EA94CED24BA}"/>
            </c:ext>
          </c:extLst>
        </c:ser>
        <c:ser>
          <c:idx val="7"/>
          <c:order val="7"/>
          <c:tx>
            <c:strRef>
              <c:f>每日进展!$B$56</c:f>
              <c:strCache>
                <c:ptCount val="1"/>
                <c:pt idx="0">
                  <c:v>PCIECV_USP</c:v>
                </c:pt>
              </c:strCache>
            </c:strRef>
          </c:tx>
          <c:spPr>
            <a:ln>
              <a:solidFill>
                <a:schemeClr val="accent4">
                  <a:lumMod val="80000"/>
                </a:schemeClr>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每日进展!$C$56:$BD$56</c:f>
              <c:numCache>
                <c:formatCode>0.00%</c:formatCode>
                <c:ptCount val="54"/>
                <c:pt idx="0">
                  <c:v>0</c:v>
                </c:pt>
                <c:pt idx="1">
                  <c:v>0</c:v>
                </c:pt>
                <c:pt idx="2">
                  <c:v>0</c:v>
                </c:pt>
                <c:pt idx="3">
                  <c:v>0</c:v>
                </c:pt>
                <c:pt idx="4">
                  <c:v>0</c:v>
                </c:pt>
                <c:pt idx="5">
                  <c:v>1.12E-2</c:v>
                </c:pt>
                <c:pt idx="6">
                  <c:v>1.123595505618E-2</c:v>
                </c:pt>
                <c:pt idx="7">
                  <c:v>1.123595505618E-2</c:v>
                </c:pt>
                <c:pt idx="8">
                  <c:v>1.123595505618E-2</c:v>
                </c:pt>
                <c:pt idx="9">
                  <c:v>1.123595505618E-2</c:v>
                </c:pt>
                <c:pt idx="10">
                  <c:v>1.123595505618E-2</c:v>
                </c:pt>
                <c:pt idx="11">
                  <c:v>1.123595505618E-2</c:v>
                </c:pt>
                <c:pt idx="12">
                  <c:v>1.123595505618E-2</c:v>
                </c:pt>
                <c:pt idx="13">
                  <c:v>1.123595505618E-2</c:v>
                </c:pt>
                <c:pt idx="14">
                  <c:v>1.123595505618E-2</c:v>
                </c:pt>
                <c:pt idx="15">
                  <c:v>1.123595505618E-2</c:v>
                </c:pt>
                <c:pt idx="16">
                  <c:v>1.123595505618E-2</c:v>
                </c:pt>
                <c:pt idx="17">
                  <c:v>1.123595505618E-2</c:v>
                </c:pt>
                <c:pt idx="18">
                  <c:v>1.123595505618E-2</c:v>
                </c:pt>
                <c:pt idx="19">
                  <c:v>1.123595505618E-2</c:v>
                </c:pt>
                <c:pt idx="20">
                  <c:v>1.123595505618E-2</c:v>
                </c:pt>
                <c:pt idx="21">
                  <c:v>1.123595505618E-2</c:v>
                </c:pt>
                <c:pt idx="22">
                  <c:v>1.123595505618E-2</c:v>
                </c:pt>
                <c:pt idx="23">
                  <c:v>1.123595505618E-2</c:v>
                </c:pt>
                <c:pt idx="24">
                  <c:v>1.123595505618E-2</c:v>
                </c:pt>
                <c:pt idx="25">
                  <c:v>5.62E-2</c:v>
                </c:pt>
                <c:pt idx="26">
                  <c:v>5.62E-2</c:v>
                </c:pt>
                <c:pt idx="27">
                  <c:v>5.6179775280899E-2</c:v>
                </c:pt>
                <c:pt idx="28">
                  <c:v>5.6179775280899E-2</c:v>
                </c:pt>
                <c:pt idx="29">
                  <c:v>0.51136363636363602</c:v>
                </c:pt>
                <c:pt idx="30">
                  <c:v>0.54545454545454597</c:v>
                </c:pt>
                <c:pt idx="31">
                  <c:v>0.94318181818181801</c:v>
                </c:pt>
                <c:pt idx="32">
                  <c:v>0.94318181818181801</c:v>
                </c:pt>
                <c:pt idx="33">
                  <c:v>0.94318181818181801</c:v>
                </c:pt>
                <c:pt idx="34">
                  <c:v>0.94318181818181801</c:v>
                </c:pt>
                <c:pt idx="35">
                  <c:v>0.94318181818181801</c:v>
                </c:pt>
                <c:pt idx="36">
                  <c:v>0.94318181818181801</c:v>
                </c:pt>
                <c:pt idx="37">
                  <c:v>0.94318181818181801</c:v>
                </c:pt>
                <c:pt idx="38">
                  <c:v>0.94318181818181801</c:v>
                </c:pt>
                <c:pt idx="39">
                  <c:v>0.94318181818181801</c:v>
                </c:pt>
              </c:numCache>
            </c:numRef>
          </c:val>
          <c:smooth val="0"/>
          <c:extLst>
            <c:ext xmlns:c16="http://schemas.microsoft.com/office/drawing/2014/chart" uri="{C3380CC4-5D6E-409C-BE32-E72D297353CC}">
              <c16:uniqueId val="{00000007-19C2-4EB4-B21A-7EA94CED24BA}"/>
            </c:ext>
          </c:extLst>
        </c:ser>
        <c:ser>
          <c:idx val="8"/>
          <c:order val="8"/>
          <c:tx>
            <c:strRef>
              <c:f>每日进展!$B$57</c:f>
              <c:strCache>
                <c:ptCount val="1"/>
                <c:pt idx="0">
                  <c:v>PCIECV_DSP</c:v>
                </c:pt>
              </c:strCache>
            </c:strRef>
          </c:tx>
          <c:spPr>
            <a:ln>
              <a:solidFill>
                <a:schemeClr val="accent6">
                  <a:lumMod val="80000"/>
                </a:schemeClr>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每日进展!$C$57:$BD$57</c:f>
              <c:numCache>
                <c:formatCode>0.00%</c:formatCode>
                <c:ptCount val="54"/>
                <c:pt idx="0">
                  <c:v>0</c:v>
                </c:pt>
                <c:pt idx="1">
                  <c:v>0</c:v>
                </c:pt>
                <c:pt idx="2">
                  <c:v>0</c:v>
                </c:pt>
                <c:pt idx="3">
                  <c:v>1.1494252873563E-2</c:v>
                </c:pt>
                <c:pt idx="4">
                  <c:v>1.1494252873563E-2</c:v>
                </c:pt>
                <c:pt idx="5">
                  <c:v>1.15E-2</c:v>
                </c:pt>
                <c:pt idx="6">
                  <c:v>1.1494252873563E-2</c:v>
                </c:pt>
                <c:pt idx="7">
                  <c:v>1.1494252873563E-2</c:v>
                </c:pt>
                <c:pt idx="8">
                  <c:v>1.1494252873563E-2</c:v>
                </c:pt>
                <c:pt idx="9">
                  <c:v>1.1494252873563E-2</c:v>
                </c:pt>
                <c:pt idx="10">
                  <c:v>1.1494252873563E-2</c:v>
                </c:pt>
                <c:pt idx="11">
                  <c:v>1.1494252873563E-2</c:v>
                </c:pt>
                <c:pt idx="12">
                  <c:v>1.1494252873563E-2</c:v>
                </c:pt>
                <c:pt idx="13">
                  <c:v>1.1494252873563E-2</c:v>
                </c:pt>
                <c:pt idx="14">
                  <c:v>1.1494252873563E-2</c:v>
                </c:pt>
                <c:pt idx="15">
                  <c:v>1.1494252873563E-2</c:v>
                </c:pt>
                <c:pt idx="16">
                  <c:v>1.1494252873563E-2</c:v>
                </c:pt>
                <c:pt idx="17">
                  <c:v>1.1494252873563E-2</c:v>
                </c:pt>
                <c:pt idx="18">
                  <c:v>1.1494252873563E-2</c:v>
                </c:pt>
                <c:pt idx="19">
                  <c:v>1.1494252873563E-2</c:v>
                </c:pt>
                <c:pt idx="20">
                  <c:v>1.1494252873563E-2</c:v>
                </c:pt>
                <c:pt idx="21">
                  <c:v>1.1494252873563E-2</c:v>
                </c:pt>
                <c:pt idx="22">
                  <c:v>1.1494252873563E-2</c:v>
                </c:pt>
                <c:pt idx="23">
                  <c:v>1.1494252873563E-2</c:v>
                </c:pt>
                <c:pt idx="24">
                  <c:v>6.8965517241379004E-2</c:v>
                </c:pt>
                <c:pt idx="25">
                  <c:v>0.1149</c:v>
                </c:pt>
                <c:pt idx="26">
                  <c:v>0.45454545454545497</c:v>
                </c:pt>
                <c:pt idx="27">
                  <c:v>0.45454545454545497</c:v>
                </c:pt>
                <c:pt idx="28">
                  <c:v>0.54545454545454597</c:v>
                </c:pt>
                <c:pt idx="29">
                  <c:v>0.54545454545454597</c:v>
                </c:pt>
                <c:pt idx="30">
                  <c:v>0.54545454545454597</c:v>
                </c:pt>
                <c:pt idx="31">
                  <c:v>0.94379999999999997</c:v>
                </c:pt>
                <c:pt idx="32">
                  <c:v>0.94379999999999997</c:v>
                </c:pt>
                <c:pt idx="33">
                  <c:v>0.94379999999999997</c:v>
                </c:pt>
                <c:pt idx="34">
                  <c:v>0.94382022471910099</c:v>
                </c:pt>
                <c:pt idx="35">
                  <c:v>0.94382022471910099</c:v>
                </c:pt>
                <c:pt idx="36">
                  <c:v>0.94382022471910099</c:v>
                </c:pt>
                <c:pt idx="37">
                  <c:v>0.94382022471910099</c:v>
                </c:pt>
                <c:pt idx="38">
                  <c:v>0.94382022471910099</c:v>
                </c:pt>
                <c:pt idx="39">
                  <c:v>0.94382022471910099</c:v>
                </c:pt>
              </c:numCache>
            </c:numRef>
          </c:val>
          <c:smooth val="0"/>
          <c:extLst>
            <c:ext xmlns:c16="http://schemas.microsoft.com/office/drawing/2014/chart" uri="{C3380CC4-5D6E-409C-BE32-E72D297353CC}">
              <c16:uniqueId val="{00000008-19C2-4EB4-B21A-7EA94CED24BA}"/>
            </c:ext>
          </c:extLst>
        </c:ser>
        <c:ser>
          <c:idx val="9"/>
          <c:order val="9"/>
          <c:tx>
            <c:strRef>
              <c:f>每日进展!$B$58</c:f>
              <c:strCache>
                <c:ptCount val="1"/>
                <c:pt idx="0">
                  <c:v>PBL</c:v>
                </c:pt>
              </c:strCache>
            </c:strRef>
          </c:tx>
          <c:spPr>
            <a:ln>
              <a:solidFill>
                <a:schemeClr val="accent2">
                  <a:lumMod val="80000"/>
                </a:schemeClr>
              </a:solidFill>
              <a:prstDash/>
              <a:headEnd/>
              <a:tailEnd/>
            </a:ln>
          </c:spPr>
          <c:marker>
            <c:symbol val="none"/>
          </c:marker>
          <c:dLbls>
            <c:numFmt formatCode="0.00%" sourceLinked="0"/>
            <c:spPr>
              <a:noFill/>
              <a:ln>
                <a:noFill/>
              </a:ln>
              <a:effectLst/>
            </c:spPr>
            <c:txPr>
              <a:bodyPr/>
              <a:lstStyle/>
              <a:p>
                <a:pPr>
                  <a:defRPr sz="1200" b="0" i="0">
                    <a:solidFill>
                      <a:srgbClr val="000000"/>
                    </a:solidFill>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每日进展!$C$58:$BD$58</c:f>
              <c:numCache>
                <c:formatCode>0.00%</c:formatCode>
                <c:ptCount val="54"/>
                <c:pt idx="0">
                  <c:v>0</c:v>
                </c:pt>
                <c:pt idx="1">
                  <c:v>0</c:v>
                </c:pt>
                <c:pt idx="2">
                  <c:v>0</c:v>
                </c:pt>
                <c:pt idx="3">
                  <c:v>0</c:v>
                </c:pt>
                <c:pt idx="4">
                  <c:v>0</c:v>
                </c:pt>
                <c:pt idx="5">
                  <c:v>3.0999999999999999E-3</c:v>
                </c:pt>
                <c:pt idx="6">
                  <c:v>3.0864197530860002E-3</c:v>
                </c:pt>
                <c:pt idx="7">
                  <c:v>3.0864197530860002E-3</c:v>
                </c:pt>
                <c:pt idx="8">
                  <c:v>3.0864197530860002E-3</c:v>
                </c:pt>
                <c:pt idx="9">
                  <c:v>3.0864197530860002E-3</c:v>
                </c:pt>
                <c:pt idx="10">
                  <c:v>3.0864197530860002E-3</c:v>
                </c:pt>
                <c:pt idx="11">
                  <c:v>3.0864197530860002E-3</c:v>
                </c:pt>
                <c:pt idx="12">
                  <c:v>3.0864197530860002E-3</c:v>
                </c:pt>
                <c:pt idx="13">
                  <c:v>3.0864197530860002E-3</c:v>
                </c:pt>
                <c:pt idx="14">
                  <c:v>3.0864197530860002E-3</c:v>
                </c:pt>
                <c:pt idx="15">
                  <c:v>3.0864197530860002E-3</c:v>
                </c:pt>
                <c:pt idx="16">
                  <c:v>3.0864197530860002E-3</c:v>
                </c:pt>
                <c:pt idx="17">
                  <c:v>3.0864197530860002E-3</c:v>
                </c:pt>
                <c:pt idx="18">
                  <c:v>3.0864197530860002E-3</c:v>
                </c:pt>
                <c:pt idx="19">
                  <c:v>3.0864197530860002E-3</c:v>
                </c:pt>
                <c:pt idx="20">
                  <c:v>3.0864197530860002E-3</c:v>
                </c:pt>
                <c:pt idx="21">
                  <c:v>3.0864197530860002E-3</c:v>
                </c:pt>
                <c:pt idx="22">
                  <c:v>3.0864197530860002E-3</c:v>
                </c:pt>
                <c:pt idx="23">
                  <c:v>3.0864197530860002E-3</c:v>
                </c:pt>
                <c:pt idx="24">
                  <c:v>3.0864197530860002E-3</c:v>
                </c:pt>
                <c:pt idx="25">
                  <c:v>3.0999999999999999E-3</c:v>
                </c:pt>
                <c:pt idx="26">
                  <c:v>3.0999999999999999E-3</c:v>
                </c:pt>
                <c:pt idx="27">
                  <c:v>0.12962962962963001</c:v>
                </c:pt>
                <c:pt idx="28">
                  <c:v>0.12962962962963001</c:v>
                </c:pt>
                <c:pt idx="29">
                  <c:v>0.12962962962963001</c:v>
                </c:pt>
                <c:pt idx="30">
                  <c:v>0.265432098765432</c:v>
                </c:pt>
                <c:pt idx="31">
                  <c:v>0.26540000000000002</c:v>
                </c:pt>
                <c:pt idx="32">
                  <c:v>0.26540000000000002</c:v>
                </c:pt>
                <c:pt idx="33">
                  <c:v>0.26540000000000002</c:v>
                </c:pt>
                <c:pt idx="34">
                  <c:v>0.265432098765432</c:v>
                </c:pt>
                <c:pt idx="35">
                  <c:v>0.265432098765432</c:v>
                </c:pt>
                <c:pt idx="36">
                  <c:v>0.265432098765432</c:v>
                </c:pt>
                <c:pt idx="37">
                  <c:v>0.265432098765432</c:v>
                </c:pt>
                <c:pt idx="38">
                  <c:v>0.265432098765432</c:v>
                </c:pt>
                <c:pt idx="39">
                  <c:v>0.265432098765432</c:v>
                </c:pt>
              </c:numCache>
            </c:numRef>
          </c:val>
          <c:smooth val="0"/>
          <c:extLst>
            <c:ext xmlns:c16="http://schemas.microsoft.com/office/drawing/2014/chart" uri="{C3380CC4-5D6E-409C-BE32-E72D297353CC}">
              <c16:uniqueId val="{00000009-19C2-4EB4-B21A-7EA94CED24BA}"/>
            </c:ext>
          </c:extLst>
        </c:ser>
        <c:ser>
          <c:idx val="10"/>
          <c:order val="10"/>
          <c:tx>
            <c:strRef>
              <c:f>每日进展!$B$59</c:f>
              <c:strCache>
                <c:ptCount val="1"/>
                <c:pt idx="0">
                  <c:v>DMA</c:v>
                </c:pt>
              </c:strCache>
            </c:strRef>
          </c:tx>
          <c:spPr>
            <a:ln>
              <a:solidFill>
                <a:schemeClr val="accent4">
                  <a:lumMod val="80000"/>
                </a:schemeClr>
              </a:solidFill>
              <a:prstDash/>
              <a:headEnd/>
              <a:tailEnd/>
            </a:ln>
          </c:spPr>
          <c:marker>
            <c:symbol val="none"/>
          </c:marker>
          <c:dLbls>
            <c:numFmt formatCode="0.00%" sourceLinked="0"/>
            <c:spPr>
              <a:noFill/>
              <a:ln>
                <a:noFill/>
              </a:ln>
              <a:effectLst/>
            </c:spPr>
            <c:txPr>
              <a:bodyPr/>
              <a:lstStyle/>
              <a:p>
                <a:pPr>
                  <a:defRPr sz="1200" b="1" i="0">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每日进展!$C$59:$BD$59</c:f>
              <c:numCache>
                <c:formatCode>0.00%</c:formatCode>
                <c:ptCount val="54"/>
                <c:pt idx="0">
                  <c:v>0</c:v>
                </c:pt>
                <c:pt idx="1">
                  <c:v>0.47370000000000001</c:v>
                </c:pt>
                <c:pt idx="2">
                  <c:v>0.63160000000000005</c:v>
                </c:pt>
                <c:pt idx="3">
                  <c:v>0.73684210526315796</c:v>
                </c:pt>
                <c:pt idx="4">
                  <c:v>0.89473684210526305</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numCache>
            </c:numRef>
          </c:val>
          <c:smooth val="0"/>
          <c:extLst>
            <c:ext xmlns:c16="http://schemas.microsoft.com/office/drawing/2014/chart" uri="{C3380CC4-5D6E-409C-BE32-E72D297353CC}">
              <c16:uniqueId val="{0000000A-19C2-4EB4-B21A-7EA94CED24BA}"/>
            </c:ext>
          </c:extLst>
        </c:ser>
        <c:ser>
          <c:idx val="11"/>
          <c:order val="11"/>
          <c:tx>
            <c:strRef>
              <c:f>每日进展!$B$60</c:f>
              <c:strCache>
                <c:ptCount val="1"/>
                <c:pt idx="0">
                  <c:v>管理工具</c:v>
                </c:pt>
              </c:strCache>
            </c:strRef>
          </c:tx>
          <c:spPr>
            <a:ln>
              <a:solidFill>
                <a:schemeClr val="accent6">
                  <a:lumMod val="80000"/>
                </a:schemeClr>
              </a:solidFill>
              <a:prstDash/>
              <a:headEnd/>
              <a:tailEnd/>
            </a:ln>
          </c:spPr>
          <c:marker>
            <c:symbol val="none"/>
          </c:marker>
          <c:dLbls>
            <c:numFmt formatCode="0.00%" sourceLinked="0"/>
            <c:spPr>
              <a:noFill/>
              <a:ln>
                <a:noFill/>
              </a:ln>
              <a:effectLst/>
            </c:spPr>
            <c:txPr>
              <a:bodyPr/>
              <a:lstStyle/>
              <a:p>
                <a:pPr>
                  <a:defRPr sz="1200" b="1" i="0">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每日进展!$C$60:$BD$60</c:f>
              <c:numCache>
                <c:formatCode>0.00%</c:formatCode>
                <c:ptCount val="54"/>
                <c:pt idx="0">
                  <c:v>0</c:v>
                </c:pt>
                <c:pt idx="1">
                  <c:v>0</c:v>
                </c:pt>
                <c:pt idx="2">
                  <c:v>0</c:v>
                </c:pt>
                <c:pt idx="3">
                  <c:v>0</c:v>
                </c:pt>
                <c:pt idx="4">
                  <c:v>0</c:v>
                </c:pt>
                <c:pt idx="5">
                  <c:v>4.3999999999999997E-2</c:v>
                </c:pt>
                <c:pt idx="6">
                  <c:v>0.10989010989011</c:v>
                </c:pt>
                <c:pt idx="7">
                  <c:v>0.10989010989011</c:v>
                </c:pt>
                <c:pt idx="8">
                  <c:v>0.10989010989011</c:v>
                </c:pt>
                <c:pt idx="9">
                  <c:v>0.10989010989011</c:v>
                </c:pt>
                <c:pt idx="10">
                  <c:v>0.10989010989011</c:v>
                </c:pt>
                <c:pt idx="11">
                  <c:v>0.10989010989011</c:v>
                </c:pt>
                <c:pt idx="12">
                  <c:v>0.10989010989011</c:v>
                </c:pt>
                <c:pt idx="13">
                  <c:v>0.10989010989011</c:v>
                </c:pt>
                <c:pt idx="14">
                  <c:v>0.10989010989011</c:v>
                </c:pt>
                <c:pt idx="15">
                  <c:v>0.10989010989011</c:v>
                </c:pt>
                <c:pt idx="16">
                  <c:v>0.10989010989011</c:v>
                </c:pt>
                <c:pt idx="17">
                  <c:v>0.10989010989011</c:v>
                </c:pt>
                <c:pt idx="18">
                  <c:v>0.118279569892473</c:v>
                </c:pt>
                <c:pt idx="19">
                  <c:v>0.204301075268817</c:v>
                </c:pt>
                <c:pt idx="20">
                  <c:v>0.204301075268817</c:v>
                </c:pt>
                <c:pt idx="21">
                  <c:v>0.204301075268817</c:v>
                </c:pt>
                <c:pt idx="22">
                  <c:v>0.204301075268817</c:v>
                </c:pt>
                <c:pt idx="23">
                  <c:v>0.247311827956989</c:v>
                </c:pt>
                <c:pt idx="24">
                  <c:v>0.247311827956989</c:v>
                </c:pt>
                <c:pt idx="25">
                  <c:v>0.2366</c:v>
                </c:pt>
                <c:pt idx="26">
                  <c:v>0.2366</c:v>
                </c:pt>
                <c:pt idx="27">
                  <c:v>0.236559139784946</c:v>
                </c:pt>
                <c:pt idx="28">
                  <c:v>0.236559139784946</c:v>
                </c:pt>
                <c:pt idx="29">
                  <c:v>0.236559139784946</c:v>
                </c:pt>
                <c:pt idx="30">
                  <c:v>0.236559139784946</c:v>
                </c:pt>
                <c:pt idx="31">
                  <c:v>0.2366</c:v>
                </c:pt>
                <c:pt idx="32">
                  <c:v>0.2366</c:v>
                </c:pt>
                <c:pt idx="33">
                  <c:v>0.2366</c:v>
                </c:pt>
                <c:pt idx="34">
                  <c:v>0.236559139784946</c:v>
                </c:pt>
                <c:pt idx="35">
                  <c:v>0.236559139784946</c:v>
                </c:pt>
                <c:pt idx="36">
                  <c:v>0.72727272727272696</c:v>
                </c:pt>
                <c:pt idx="37">
                  <c:v>0.72727272727272696</c:v>
                </c:pt>
                <c:pt idx="38">
                  <c:v>0.72727272727272696</c:v>
                </c:pt>
                <c:pt idx="39">
                  <c:v>0.74025974025973995</c:v>
                </c:pt>
              </c:numCache>
            </c:numRef>
          </c:val>
          <c:smooth val="0"/>
          <c:extLst>
            <c:ext xmlns:c16="http://schemas.microsoft.com/office/drawing/2014/chart" uri="{C3380CC4-5D6E-409C-BE32-E72D297353CC}">
              <c16:uniqueId val="{0000000B-19C2-4EB4-B21A-7EA94CED24BA}"/>
            </c:ext>
          </c:extLst>
        </c:ser>
        <c:ser>
          <c:idx val="12"/>
          <c:order val="12"/>
          <c:tx>
            <c:strRef>
              <c:f>每日进展!$B$61</c:f>
              <c:strCache>
                <c:ptCount val="1"/>
                <c:pt idx="0">
                  <c:v>兼容性</c:v>
                </c:pt>
              </c:strCache>
            </c:strRef>
          </c:tx>
          <c:spPr>
            <a:ln>
              <a:solidFill>
                <a:schemeClr val="accent2">
                  <a:lumMod val="60000"/>
                </a:schemeClr>
              </a:solidFill>
              <a:prstDash/>
              <a:headEnd/>
              <a:tailEnd/>
            </a:ln>
          </c:spPr>
          <c:marker>
            <c:symbol val="none"/>
          </c:marker>
          <c:dLbls>
            <c:numFmt formatCode="0.00%" sourceLinked="0"/>
            <c:spPr>
              <a:noFill/>
              <a:ln>
                <a:noFill/>
              </a:ln>
              <a:effectLst/>
            </c:spPr>
            <c:txPr>
              <a:bodyPr/>
              <a:lstStyle/>
              <a:p>
                <a:pPr>
                  <a:defRPr sz="1200" b="1" i="0">
                    <a:latin typeface="Microsoft YaHei"/>
                  </a:defRPr>
                </a:pPr>
                <a:endParaRPr lang="zh-CN"/>
              </a:p>
            </c:txPr>
            <c:dLblPos val="t"/>
            <c:showLegendKey val="0"/>
            <c:showVal val="1"/>
            <c:showCatName val="0"/>
            <c:showSerName val="0"/>
            <c:showPercent val="0"/>
            <c:showBubbleSize val="0"/>
            <c:separator>,</c:separator>
            <c:showLeaderLines val="0"/>
            <c:extLst>
              <c:ext xmlns:c15="http://schemas.microsoft.com/office/drawing/2012/chart" uri="{CE6537A1-D6FC-4f65-9D91-7224C49458BB}">
                <c15:showLeaderLines val="0"/>
              </c:ext>
            </c:extLst>
          </c:dLbls>
          <c:cat>
            <c:numRef>
              <c:f>每日进展!$C$48:$BD$48</c:f>
              <c:numCache>
                <c:formatCode>m/d/yyyy</c:formatCode>
                <c:ptCount val="54"/>
                <c:pt idx="0">
                  <c:v>45528</c:v>
                </c:pt>
                <c:pt idx="1">
                  <c:v>45531</c:v>
                </c:pt>
                <c:pt idx="2">
                  <c:v>45532</c:v>
                </c:pt>
                <c:pt idx="3">
                  <c:v>45533</c:v>
                </c:pt>
                <c:pt idx="4">
                  <c:v>45534</c:v>
                </c:pt>
                <c:pt idx="5">
                  <c:v>45535</c:v>
                </c:pt>
                <c:pt idx="6">
                  <c:v>45536</c:v>
                </c:pt>
                <c:pt idx="7">
                  <c:v>45537</c:v>
                </c:pt>
                <c:pt idx="8">
                  <c:v>45538</c:v>
                </c:pt>
                <c:pt idx="9">
                  <c:v>45539</c:v>
                </c:pt>
                <c:pt idx="10">
                  <c:v>45540</c:v>
                </c:pt>
                <c:pt idx="11">
                  <c:v>45541</c:v>
                </c:pt>
                <c:pt idx="12">
                  <c:v>45542</c:v>
                </c:pt>
                <c:pt idx="13">
                  <c:v>45543</c:v>
                </c:pt>
                <c:pt idx="14">
                  <c:v>45544</c:v>
                </c:pt>
                <c:pt idx="15">
                  <c:v>45545</c:v>
                </c:pt>
                <c:pt idx="16">
                  <c:v>45546</c:v>
                </c:pt>
                <c:pt idx="17">
                  <c:v>45547</c:v>
                </c:pt>
                <c:pt idx="18">
                  <c:v>45548</c:v>
                </c:pt>
                <c:pt idx="19">
                  <c:v>45549</c:v>
                </c:pt>
                <c:pt idx="20">
                  <c:v>45550</c:v>
                </c:pt>
                <c:pt idx="21">
                  <c:v>45551</c:v>
                </c:pt>
                <c:pt idx="22">
                  <c:v>45552</c:v>
                </c:pt>
                <c:pt idx="23">
                  <c:v>45553</c:v>
                </c:pt>
                <c:pt idx="24">
                  <c:v>45554</c:v>
                </c:pt>
                <c:pt idx="25">
                  <c:v>45555</c:v>
                </c:pt>
                <c:pt idx="26">
                  <c:v>45556</c:v>
                </c:pt>
                <c:pt idx="27">
                  <c:v>45557</c:v>
                </c:pt>
                <c:pt idx="28">
                  <c:v>45558</c:v>
                </c:pt>
                <c:pt idx="29">
                  <c:v>45559</c:v>
                </c:pt>
                <c:pt idx="30">
                  <c:v>45560</c:v>
                </c:pt>
                <c:pt idx="31">
                  <c:v>45561</c:v>
                </c:pt>
                <c:pt idx="32">
                  <c:v>45562</c:v>
                </c:pt>
                <c:pt idx="33">
                  <c:v>45563</c:v>
                </c:pt>
                <c:pt idx="34">
                  <c:v>45564</c:v>
                </c:pt>
                <c:pt idx="35">
                  <c:v>45565</c:v>
                </c:pt>
                <c:pt idx="36">
                  <c:v>45573</c:v>
                </c:pt>
                <c:pt idx="37">
                  <c:v>45574</c:v>
                </c:pt>
                <c:pt idx="38">
                  <c:v>45575</c:v>
                </c:pt>
                <c:pt idx="39">
                  <c:v>45576</c:v>
                </c:pt>
              </c:numCache>
            </c:numRef>
          </c:cat>
          <c:val>
            <c:numRef>
              <c:f>每日进展!$C$61:$BD$61</c:f>
              <c:numCache>
                <c:formatCode>0.00%</c:formatCode>
                <c:ptCount val="54"/>
                <c:pt idx="0">
                  <c:v>0</c:v>
                </c:pt>
                <c:pt idx="1">
                  <c:v>0.93940000000000001</c:v>
                </c:pt>
                <c:pt idx="2">
                  <c:v>0.93940000000000001</c:v>
                </c:pt>
                <c:pt idx="3">
                  <c:v>0.93939393939394</c:v>
                </c:pt>
                <c:pt idx="4">
                  <c:v>0.93939393939394</c:v>
                </c:pt>
                <c:pt idx="5">
                  <c:v>0.93940000000000001</c:v>
                </c:pt>
                <c:pt idx="6">
                  <c:v>0.93939393939394</c:v>
                </c:pt>
                <c:pt idx="7">
                  <c:v>0.93939393939394</c:v>
                </c:pt>
                <c:pt idx="8">
                  <c:v>0.93939393939394</c:v>
                </c:pt>
                <c:pt idx="9">
                  <c:v>0.93939393939394</c:v>
                </c:pt>
                <c:pt idx="10">
                  <c:v>0.93939393939394</c:v>
                </c:pt>
                <c:pt idx="11">
                  <c:v>0.93939393939394</c:v>
                </c:pt>
                <c:pt idx="12">
                  <c:v>0.93939393939394</c:v>
                </c:pt>
                <c:pt idx="13">
                  <c:v>0.93939393939394</c:v>
                </c:pt>
                <c:pt idx="14">
                  <c:v>0.93939393939394</c:v>
                </c:pt>
                <c:pt idx="15">
                  <c:v>0.93939393939394</c:v>
                </c:pt>
                <c:pt idx="16">
                  <c:v>0.93939393939394</c:v>
                </c:pt>
                <c:pt idx="17">
                  <c:v>0.93939393939394</c:v>
                </c:pt>
                <c:pt idx="18">
                  <c:v>0.93939393939394</c:v>
                </c:pt>
                <c:pt idx="19">
                  <c:v>0.93939393939394</c:v>
                </c:pt>
                <c:pt idx="20">
                  <c:v>0.93939393939394</c:v>
                </c:pt>
                <c:pt idx="21">
                  <c:v>0.93939393939394</c:v>
                </c:pt>
                <c:pt idx="22">
                  <c:v>0.93939393939394</c:v>
                </c:pt>
                <c:pt idx="23">
                  <c:v>0.93939393939394</c:v>
                </c:pt>
                <c:pt idx="24">
                  <c:v>0.93939393939394</c:v>
                </c:pt>
                <c:pt idx="25">
                  <c:v>0.96970000000000001</c:v>
                </c:pt>
                <c:pt idx="26">
                  <c:v>0.96970000000000001</c:v>
                </c:pt>
                <c:pt idx="27">
                  <c:v>1</c:v>
                </c:pt>
                <c:pt idx="28">
                  <c:v>1</c:v>
                </c:pt>
                <c:pt idx="29">
                  <c:v>1</c:v>
                </c:pt>
                <c:pt idx="30">
                  <c:v>1</c:v>
                </c:pt>
                <c:pt idx="31">
                  <c:v>1</c:v>
                </c:pt>
                <c:pt idx="32">
                  <c:v>1</c:v>
                </c:pt>
                <c:pt idx="33">
                  <c:v>1</c:v>
                </c:pt>
                <c:pt idx="34">
                  <c:v>1</c:v>
                </c:pt>
                <c:pt idx="35">
                  <c:v>1</c:v>
                </c:pt>
                <c:pt idx="36">
                  <c:v>1</c:v>
                </c:pt>
                <c:pt idx="37">
                  <c:v>1</c:v>
                </c:pt>
                <c:pt idx="38">
                  <c:v>1</c:v>
                </c:pt>
                <c:pt idx="39">
                  <c:v>1</c:v>
                </c:pt>
              </c:numCache>
            </c:numRef>
          </c:val>
          <c:smooth val="0"/>
          <c:extLst>
            <c:ext xmlns:c16="http://schemas.microsoft.com/office/drawing/2014/chart" uri="{C3380CC4-5D6E-409C-BE32-E72D297353CC}">
              <c16:uniqueId val="{0000000C-19C2-4EB4-B21A-7EA94CED24BA}"/>
            </c:ext>
          </c:extLst>
        </c:ser>
        <c:dLbls>
          <c:dLblPos val="ctr"/>
          <c:showLegendKey val="0"/>
          <c:showVal val="1"/>
          <c:showCatName val="0"/>
          <c:showSerName val="0"/>
          <c:showPercent val="0"/>
          <c:showBubbleSize val="0"/>
          <c:separator>,</c:separator>
        </c:dLbls>
        <c:smooth val="0"/>
        <c:axId val="719704724"/>
        <c:axId val="209702328"/>
      </c:lineChart>
      <c:dateAx>
        <c:axId val="719704724"/>
        <c:scaling>
          <c:orientation val="minMax"/>
        </c:scaling>
        <c:delete val="0"/>
        <c:axPos val="b"/>
        <c:numFmt formatCode="m/d/yyyy" sourceLinked="1"/>
        <c:majorTickMark val="cross"/>
        <c:minorTickMark val="cross"/>
        <c:tickLblPos val="nextTo"/>
        <c:txPr>
          <a:bodyPr/>
          <a:lstStyle/>
          <a:p>
            <a:pPr>
              <a:defRPr sz="1200" b="1" i="0">
                <a:latin typeface="Microsoft YaHei"/>
              </a:defRPr>
            </a:pPr>
            <a:endParaRPr lang="zh-CN"/>
          </a:p>
        </c:txPr>
        <c:crossAx val="209702328"/>
        <c:crosses val="autoZero"/>
        <c:auto val="1"/>
        <c:lblOffset val="100"/>
        <c:baseTimeUnit val="days"/>
      </c:dateAx>
      <c:valAx>
        <c:axId val="209702328"/>
        <c:scaling>
          <c:orientation val="minMax"/>
          <c:max val="1"/>
        </c:scaling>
        <c:delete val="0"/>
        <c:axPos val="l"/>
        <c:numFmt formatCode="0%" sourceLinked="0"/>
        <c:majorTickMark val="cross"/>
        <c:minorTickMark val="cross"/>
        <c:tickLblPos val="nextTo"/>
        <c:txPr>
          <a:bodyPr/>
          <a:lstStyle/>
          <a:p>
            <a:pPr>
              <a:defRPr sz="1200" b="1" i="0">
                <a:latin typeface="Microsoft YaHei"/>
              </a:defRPr>
            </a:pPr>
            <a:endParaRPr lang="zh-CN"/>
          </a:p>
        </c:txPr>
        <c:crossAx val="719704724"/>
        <c:crosses val="autoZero"/>
        <c:crossBetween val="between"/>
        <c:majorUnit val="0.1"/>
        <c:minorUnit val="0.01"/>
      </c:valAx>
    </c:plotArea>
    <c:legend>
      <c:legendPos val="l"/>
      <c:overlay val="0"/>
      <c:txPr>
        <a:bodyPr/>
        <a:lstStyle/>
        <a:p>
          <a:pPr>
            <a:defRPr sz="1200" b="1" i="0">
              <a:latin typeface="Microsoft YaHei"/>
            </a:defRPr>
          </a:pPr>
          <a:endParaRPr lang="zh-CN"/>
        </a:p>
      </c:txPr>
    </c:legend>
    <c:plotVisOnly val="1"/>
    <c:dispBlanksAs val="zero"/>
    <c:showDLblsOverMax val="1"/>
  </c:chart>
  <c:spPr>
    <a:solidFill>
      <a:srgbClr val="FFFFFF"/>
    </a:solidFill>
  </c:spPr>
  <c:txPr>
    <a:bodyPr/>
    <a:lstStyle/>
    <a:p>
      <a:pPr>
        <a:defRPr sz="1200" b="1" i="0">
          <a:latin typeface="Microsoft YaHei"/>
        </a:defRPr>
      </a:pPr>
      <a:endParaRPr lang="zh-CN"/>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1"/>
  <c:style val="2"/>
  <c:chart>
    <c:autoTitleDeleted val="1"/>
    <c:plotArea>
      <c:layout/>
      <c:barChart>
        <c:barDir val="col"/>
        <c:grouping val="percentStacked"/>
        <c:varyColors val="1"/>
        <c:ser>
          <c:idx val="0"/>
          <c:order val="0"/>
          <c:tx>
            <c:strRef>
              <c:f>Summary!$C$21</c:f>
              <c:strCache>
                <c:ptCount val="1"/>
                <c:pt idx="0">
                  <c:v>PASS</c:v>
                </c:pt>
              </c:strCache>
            </c:strRef>
          </c:tx>
          <c:spPr>
            <a:solidFill>
              <a:srgbClr val="4472C4"/>
            </a:solidFill>
          </c:spPr>
          <c:invertIfNegative val="1"/>
          <c:cat>
            <c:strRef>
              <c:f>Summary!$B$22:$B$44</c:f>
              <c:strCache>
                <c:ptCount val="23"/>
                <c:pt idx="0">
                  <c:v>ENUM</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strCache>
            </c:strRef>
          </c:cat>
          <c:val>
            <c:numRef>
              <c:f>Summary!$C$22:$C$44</c:f>
              <c:numCache>
                <c:formatCode>General</c:formatCode>
                <c:ptCount val="23"/>
                <c:pt idx="0">
                  <c:v>7</c:v>
                </c:pt>
                <c:pt idx="1">
                  <c:v>7</c:v>
                </c:pt>
                <c:pt idx="2">
                  <c:v>10</c:v>
                </c:pt>
                <c:pt idx="3">
                  <c:v>5</c:v>
                </c:pt>
                <c:pt idx="4">
                  <c:v>2</c:v>
                </c:pt>
                <c:pt idx="5">
                  <c:v>4</c:v>
                </c:pt>
                <c:pt idx="6">
                  <c:v>10</c:v>
                </c:pt>
                <c:pt idx="7">
                  <c:v>4</c:v>
                </c:pt>
                <c:pt idx="8">
                  <c:v>0</c:v>
                </c:pt>
                <c:pt idx="9">
                  <c:v>11</c:v>
                </c:pt>
                <c:pt idx="10">
                  <c:v>6</c:v>
                </c:pt>
                <c:pt idx="11">
                  <c:v>8</c:v>
                </c:pt>
                <c:pt idx="12">
                  <c:v>1</c:v>
                </c:pt>
                <c:pt idx="13">
                  <c:v>0</c:v>
                </c:pt>
                <c:pt idx="14">
                  <c:v>0</c:v>
                </c:pt>
                <c:pt idx="15">
                  <c:v>3</c:v>
                </c:pt>
                <c:pt idx="16">
                  <c:v>43</c:v>
                </c:pt>
                <c:pt idx="17">
                  <c:v>8</c:v>
                </c:pt>
                <c:pt idx="18">
                  <c:v>6</c:v>
                </c:pt>
                <c:pt idx="19">
                  <c:v>0</c:v>
                </c:pt>
                <c:pt idx="20">
                  <c:v>4</c:v>
                </c:pt>
                <c:pt idx="21">
                  <c:v>15</c:v>
                </c:pt>
                <c:pt idx="22">
                  <c:v>10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0-5897-4BE9-9262-1EBBE0737FDE}"/>
            </c:ext>
          </c:extLst>
        </c:ser>
        <c:ser>
          <c:idx val="1"/>
          <c:order val="1"/>
          <c:tx>
            <c:strRef>
              <c:f>Summary!$D$21</c:f>
              <c:strCache>
                <c:ptCount val="1"/>
                <c:pt idx="0">
                  <c:v>FAIL</c:v>
                </c:pt>
              </c:strCache>
            </c:strRef>
          </c:tx>
          <c:spPr>
            <a:solidFill>
              <a:srgbClr val="ED7D31"/>
            </a:solidFill>
          </c:spPr>
          <c:invertIfNegative val="1"/>
          <c:cat>
            <c:strRef>
              <c:f>Summary!$B$22:$B$44</c:f>
              <c:strCache>
                <c:ptCount val="23"/>
                <c:pt idx="0">
                  <c:v>ENUM</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strCache>
            </c:strRef>
          </c:cat>
          <c:val>
            <c:numRef>
              <c:f>Summary!$D$22:$D$44</c:f>
              <c:numCache>
                <c:formatCode>General</c:formatCode>
                <c:ptCount val="23"/>
                <c:pt idx="0">
                  <c:v>0</c:v>
                </c:pt>
                <c:pt idx="1">
                  <c:v>1</c:v>
                </c:pt>
                <c:pt idx="2">
                  <c:v>9</c:v>
                </c:pt>
                <c:pt idx="3">
                  <c:v>0</c:v>
                </c:pt>
                <c:pt idx="4">
                  <c:v>0</c:v>
                </c:pt>
                <c:pt idx="5">
                  <c:v>1</c:v>
                </c:pt>
                <c:pt idx="6">
                  <c:v>2</c:v>
                </c:pt>
                <c:pt idx="7">
                  <c:v>2</c:v>
                </c:pt>
                <c:pt idx="8">
                  <c:v>10</c:v>
                </c:pt>
                <c:pt idx="9">
                  <c:v>2</c:v>
                </c:pt>
                <c:pt idx="10">
                  <c:v>1</c:v>
                </c:pt>
                <c:pt idx="11">
                  <c:v>2</c:v>
                </c:pt>
                <c:pt idx="12">
                  <c:v>0</c:v>
                </c:pt>
                <c:pt idx="13">
                  <c:v>1</c:v>
                </c:pt>
                <c:pt idx="14">
                  <c:v>3</c:v>
                </c:pt>
                <c:pt idx="15">
                  <c:v>0</c:v>
                </c:pt>
                <c:pt idx="16">
                  <c:v>8</c:v>
                </c:pt>
                <c:pt idx="17">
                  <c:v>15</c:v>
                </c:pt>
                <c:pt idx="18">
                  <c:v>6</c:v>
                </c:pt>
                <c:pt idx="19">
                  <c:v>2</c:v>
                </c:pt>
                <c:pt idx="20">
                  <c:v>5</c:v>
                </c:pt>
                <c:pt idx="21">
                  <c:v>2</c:v>
                </c:pt>
                <c:pt idx="22">
                  <c:v>1</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1-5897-4BE9-9262-1EBBE0737FDE}"/>
            </c:ext>
          </c:extLst>
        </c:ser>
        <c:ser>
          <c:idx val="2"/>
          <c:order val="2"/>
          <c:tx>
            <c:strRef>
              <c:f>Summary!$E$21</c:f>
              <c:strCache>
                <c:ptCount val="1"/>
                <c:pt idx="0">
                  <c:v>NT</c:v>
                </c:pt>
              </c:strCache>
            </c:strRef>
          </c:tx>
          <c:spPr>
            <a:solidFill>
              <a:srgbClr val="A5A5A5"/>
            </a:solidFill>
          </c:spPr>
          <c:invertIfNegative val="1"/>
          <c:cat>
            <c:strRef>
              <c:f>Summary!$B$22:$B$44</c:f>
              <c:strCache>
                <c:ptCount val="23"/>
                <c:pt idx="0">
                  <c:v>ENUM</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strCache>
            </c:strRef>
          </c:cat>
          <c:val>
            <c:numRef>
              <c:f>Summary!$E$22:$E$44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2-5897-4BE9-9262-1EBBE0737FDE}"/>
            </c:ext>
          </c:extLst>
        </c:ser>
        <c:ser>
          <c:idx val="3"/>
          <c:order val="3"/>
          <c:tx>
            <c:strRef>
              <c:f>Summary!$F$21</c:f>
              <c:strCache>
                <c:ptCount val="1"/>
                <c:pt idx="0">
                  <c:v>BLOCK</c:v>
                </c:pt>
              </c:strCache>
            </c:strRef>
          </c:tx>
          <c:spPr>
            <a:solidFill>
              <a:srgbClr val="FFC000"/>
            </a:solidFill>
          </c:spPr>
          <c:invertIfNegative val="1"/>
          <c:cat>
            <c:strRef>
              <c:f>Summary!$B$22:$B$44</c:f>
              <c:strCache>
                <c:ptCount val="23"/>
                <c:pt idx="0">
                  <c:v>ENUM</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strCache>
            </c:strRef>
          </c:cat>
          <c:val>
            <c:numRef>
              <c:f>Summary!$F$22:$F$44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3-5897-4BE9-9262-1EBBE0737FDE}"/>
            </c:ext>
          </c:extLst>
        </c:ser>
        <c:dLbls>
          <c:showLegendKey val="0"/>
          <c:showVal val="0"/>
          <c:showCatName val="0"/>
          <c:showSerName val="0"/>
          <c:showPercent val="0"/>
          <c:showBubbleSize val="0"/>
        </c:dLbls>
        <c:gapWidth val="150"/>
        <c:overlap val="100"/>
        <c:axId val="725685043"/>
        <c:axId val="381822348"/>
      </c:barChart>
      <c:catAx>
        <c:axId val="725685043"/>
        <c:scaling>
          <c:orientation val="minMax"/>
        </c:scaling>
        <c:delete val="0"/>
        <c:axPos val="b"/>
        <c:numFmt formatCode="General" sourceLinked="1"/>
        <c:majorTickMark val="cross"/>
        <c:minorTickMark val="cross"/>
        <c:tickLblPos val="nextTo"/>
        <c:txPr>
          <a:bodyPr/>
          <a:lstStyle/>
          <a:p>
            <a:pPr>
              <a:defRPr b="0" i="0"/>
            </a:pPr>
            <a:endParaRPr lang="zh-CN"/>
          </a:p>
        </c:txPr>
        <c:crossAx val="381822348"/>
        <c:crosses val="autoZero"/>
        <c:auto val="1"/>
        <c:lblAlgn val="ctr"/>
        <c:lblOffset val="100"/>
        <c:noMultiLvlLbl val="1"/>
      </c:catAx>
      <c:valAx>
        <c:axId val="381822348"/>
        <c:scaling>
          <c:orientation val="minMax"/>
        </c:scaling>
        <c:delete val="0"/>
        <c:axPos val="l"/>
        <c:numFmt formatCode="0%" sourceLinked="1"/>
        <c:majorTickMark val="cross"/>
        <c:minorTickMark val="cross"/>
        <c:tickLblPos val="nextTo"/>
        <c:txPr>
          <a:bodyPr/>
          <a:lstStyle/>
          <a:p>
            <a:pPr>
              <a:defRPr b="0" i="0"/>
            </a:pPr>
            <a:endParaRPr lang="zh-CN"/>
          </a:p>
        </c:txPr>
        <c:crossAx val="725685043"/>
        <c:crosses val="autoZero"/>
        <c:crossBetween val="between"/>
      </c:valAx>
    </c:plotArea>
    <c:legend>
      <c:legendPos val="b"/>
      <c:overlay val="0"/>
      <c:txPr>
        <a:bodyPr/>
        <a:lstStyle/>
        <a:p>
          <a:pPr>
            <a:defRPr b="0" i="0"/>
          </a:pPr>
          <a:endParaRPr lang="zh-CN"/>
        </a:p>
      </c:txPr>
    </c:legend>
    <c:plotVisOnly val="1"/>
    <c:dispBlanksAs val="zero"/>
    <c:showDLblsOverMax val="1"/>
  </c:chart>
  <c:spPr>
    <a:solidFill>
      <a:schemeClr val="bg1"/>
    </a:solidFill>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1"/>
  <c:style val="2"/>
  <c:chart>
    <c:autoTitleDeleted val="1"/>
    <c:plotArea>
      <c:layout/>
      <c:barChart>
        <c:barDir val="col"/>
        <c:grouping val="percentStacked"/>
        <c:varyColors val="1"/>
        <c:ser>
          <c:idx val="0"/>
          <c:order val="0"/>
          <c:tx>
            <c:strRef>
              <c:f>Summary!$C$3</c:f>
              <c:strCache>
                <c:ptCount val="1"/>
                <c:pt idx="0">
                  <c:v>PASS</c:v>
                </c:pt>
              </c:strCache>
            </c:strRef>
          </c:tx>
          <c:spPr>
            <a:solidFill>
              <a:srgbClr val="4472C4"/>
            </a:solidFill>
          </c:spPr>
          <c:invertIfNegative val="1"/>
          <c:cat>
            <c:strRef>
              <c:f>Summary!$B$4:$B$16</c:f>
              <c:strCache>
                <c:ptCount val="13"/>
                <c:pt idx="0">
                  <c:v>fanout</c:v>
                </c:pt>
                <c:pt idx="1">
                  <c:v>AI场景</c:v>
                </c:pt>
                <c:pt idx="2">
                  <c:v>存储场景</c:v>
                </c:pt>
                <c:pt idx="3">
                  <c:v>网络场景</c:v>
                </c:pt>
                <c:pt idx="4">
                  <c:v>压力测试</c:v>
                </c:pt>
                <c:pt idx="5">
                  <c:v>协议类测试</c:v>
                </c:pt>
                <c:pt idx="6">
                  <c:v>PCISIG</c:v>
                </c:pt>
                <c:pt idx="7">
                  <c:v>PCIECV_USP</c:v>
                </c:pt>
                <c:pt idx="8">
                  <c:v>PCIECV_DSP</c:v>
                </c:pt>
                <c:pt idx="9">
                  <c:v>PBL</c:v>
                </c:pt>
                <c:pt idx="10">
                  <c:v>DMA</c:v>
                </c:pt>
                <c:pt idx="11">
                  <c:v>管理工具</c:v>
                </c:pt>
                <c:pt idx="12">
                  <c:v>兼容性</c:v>
                </c:pt>
              </c:strCache>
            </c:strRef>
          </c:cat>
          <c:val>
            <c:numRef>
              <c:f>Summary!$C$4:$C$16</c:f>
              <c:numCache>
                <c:formatCode>General</c:formatCode>
                <c:ptCount val="13"/>
                <c:pt idx="0">
                  <c:v>22</c:v>
                </c:pt>
                <c:pt idx="1">
                  <c:v>31</c:v>
                </c:pt>
                <c:pt idx="2">
                  <c:v>27</c:v>
                </c:pt>
                <c:pt idx="3">
                  <c:v>30</c:v>
                </c:pt>
                <c:pt idx="4">
                  <c:v>13</c:v>
                </c:pt>
                <c:pt idx="5">
                  <c:v>181</c:v>
                </c:pt>
                <c:pt idx="6">
                  <c:v>29</c:v>
                </c:pt>
                <c:pt idx="7">
                  <c:v>0</c:v>
                </c:pt>
                <c:pt idx="8">
                  <c:v>0</c:v>
                </c:pt>
                <c:pt idx="9">
                  <c:v>322</c:v>
                </c:pt>
                <c:pt idx="10">
                  <c:v>17</c:v>
                </c:pt>
                <c:pt idx="11">
                  <c:v>137</c:v>
                </c:pt>
                <c:pt idx="12">
                  <c:v>32</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0-6518-47E1-A9CA-32F85BBC4527}"/>
            </c:ext>
          </c:extLst>
        </c:ser>
        <c:ser>
          <c:idx val="1"/>
          <c:order val="1"/>
          <c:tx>
            <c:strRef>
              <c:f>Summary!$D$3</c:f>
              <c:strCache>
                <c:ptCount val="1"/>
                <c:pt idx="0">
                  <c:v>FAIL</c:v>
                </c:pt>
              </c:strCache>
            </c:strRef>
          </c:tx>
          <c:spPr>
            <a:solidFill>
              <a:srgbClr val="ED7D31"/>
            </a:solidFill>
          </c:spPr>
          <c:invertIfNegative val="1"/>
          <c:cat>
            <c:strRef>
              <c:f>Summary!$B$4:$B$16</c:f>
              <c:strCache>
                <c:ptCount val="13"/>
                <c:pt idx="0">
                  <c:v>fanout</c:v>
                </c:pt>
                <c:pt idx="1">
                  <c:v>AI场景</c:v>
                </c:pt>
                <c:pt idx="2">
                  <c:v>存储场景</c:v>
                </c:pt>
                <c:pt idx="3">
                  <c:v>网络场景</c:v>
                </c:pt>
                <c:pt idx="4">
                  <c:v>压力测试</c:v>
                </c:pt>
                <c:pt idx="5">
                  <c:v>协议类测试</c:v>
                </c:pt>
                <c:pt idx="6">
                  <c:v>PCISIG</c:v>
                </c:pt>
                <c:pt idx="7">
                  <c:v>PCIECV_USP</c:v>
                </c:pt>
                <c:pt idx="8">
                  <c:v>PCIECV_DSP</c:v>
                </c:pt>
                <c:pt idx="9">
                  <c:v>PBL</c:v>
                </c:pt>
                <c:pt idx="10">
                  <c:v>DMA</c:v>
                </c:pt>
                <c:pt idx="11">
                  <c:v>管理工具</c:v>
                </c:pt>
                <c:pt idx="12">
                  <c:v>兼容性</c:v>
                </c:pt>
              </c:strCache>
            </c:strRef>
          </c:cat>
          <c:val>
            <c:numRef>
              <c:f>Summary!$D$4:$D$16</c:f>
              <c:numCache>
                <c:formatCode>General</c:formatCode>
                <c:ptCount val="13"/>
                <c:pt idx="0">
                  <c:v>3</c:v>
                </c:pt>
                <c:pt idx="1">
                  <c:v>3</c:v>
                </c:pt>
                <c:pt idx="2">
                  <c:v>0</c:v>
                </c:pt>
                <c:pt idx="3">
                  <c:v>2</c:v>
                </c:pt>
                <c:pt idx="4">
                  <c:v>0</c:v>
                </c:pt>
                <c:pt idx="5">
                  <c:v>56</c:v>
                </c:pt>
                <c:pt idx="6">
                  <c:v>12</c:v>
                </c:pt>
                <c:pt idx="7">
                  <c:v>88</c:v>
                </c:pt>
                <c:pt idx="8">
                  <c:v>89</c:v>
                </c:pt>
                <c:pt idx="9">
                  <c:v>8</c:v>
                </c:pt>
                <c:pt idx="10">
                  <c:v>0</c:v>
                </c:pt>
                <c:pt idx="11">
                  <c:v>10</c:v>
                </c:pt>
                <c:pt idx="12">
                  <c:v>1</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1-6518-47E1-A9CA-32F85BBC4527}"/>
            </c:ext>
          </c:extLst>
        </c:ser>
        <c:ser>
          <c:idx val="2"/>
          <c:order val="2"/>
          <c:tx>
            <c:strRef>
              <c:f>Summary!$E$3</c:f>
              <c:strCache>
                <c:ptCount val="1"/>
                <c:pt idx="0">
                  <c:v>NT</c:v>
                </c:pt>
              </c:strCache>
            </c:strRef>
          </c:tx>
          <c:spPr>
            <a:solidFill>
              <a:srgbClr val="A5A5A5"/>
            </a:solidFill>
          </c:spPr>
          <c:invertIfNegative val="1"/>
          <c:cat>
            <c:strRef>
              <c:f>Summary!$B$4:$B$16</c:f>
              <c:strCache>
                <c:ptCount val="13"/>
                <c:pt idx="0">
                  <c:v>fanout</c:v>
                </c:pt>
                <c:pt idx="1">
                  <c:v>AI场景</c:v>
                </c:pt>
                <c:pt idx="2">
                  <c:v>存储场景</c:v>
                </c:pt>
                <c:pt idx="3">
                  <c:v>网络场景</c:v>
                </c:pt>
                <c:pt idx="4">
                  <c:v>压力测试</c:v>
                </c:pt>
                <c:pt idx="5">
                  <c:v>协议类测试</c:v>
                </c:pt>
                <c:pt idx="6">
                  <c:v>PCISIG</c:v>
                </c:pt>
                <c:pt idx="7">
                  <c:v>PCIECV_USP</c:v>
                </c:pt>
                <c:pt idx="8">
                  <c:v>PCIECV_DSP</c:v>
                </c:pt>
                <c:pt idx="9">
                  <c:v>PBL</c:v>
                </c:pt>
                <c:pt idx="10">
                  <c:v>DMA</c:v>
                </c:pt>
                <c:pt idx="11">
                  <c:v>管理工具</c:v>
                </c:pt>
                <c:pt idx="12">
                  <c:v>兼容性</c:v>
                </c:pt>
              </c:strCache>
            </c:strRef>
          </c:cat>
          <c:val>
            <c:numRef>
              <c:f>Summary!$E$4:$E$16</c:f>
              <c:numCache>
                <c:formatCode>General</c:formatCode>
                <c:ptCount val="13"/>
                <c:pt idx="0">
                  <c:v>0</c:v>
                </c:pt>
                <c:pt idx="1">
                  <c:v>0</c:v>
                </c:pt>
                <c:pt idx="2">
                  <c:v>0</c:v>
                </c:pt>
                <c:pt idx="3">
                  <c:v>0</c:v>
                </c:pt>
                <c:pt idx="4">
                  <c:v>0</c:v>
                </c:pt>
                <c:pt idx="5">
                  <c:v>0</c:v>
                </c:pt>
                <c:pt idx="6">
                  <c:v>0</c:v>
                </c:pt>
                <c:pt idx="7">
                  <c:v>0</c:v>
                </c:pt>
                <c:pt idx="8">
                  <c:v>0</c:v>
                </c:pt>
                <c:pt idx="9">
                  <c:v>0</c:v>
                </c:pt>
                <c:pt idx="10">
                  <c:v>0</c:v>
                </c:pt>
                <c:pt idx="11">
                  <c:v>0</c:v>
                </c:pt>
                <c:pt idx="12">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2-6518-47E1-A9CA-32F85BBC4527}"/>
            </c:ext>
          </c:extLst>
        </c:ser>
        <c:ser>
          <c:idx val="3"/>
          <c:order val="3"/>
          <c:tx>
            <c:strRef>
              <c:f>Summary!$F$3</c:f>
              <c:strCache>
                <c:ptCount val="1"/>
                <c:pt idx="0">
                  <c:v>BLOCK</c:v>
                </c:pt>
              </c:strCache>
            </c:strRef>
          </c:tx>
          <c:spPr>
            <a:solidFill>
              <a:srgbClr val="FFC000"/>
            </a:solidFill>
          </c:spPr>
          <c:invertIfNegative val="1"/>
          <c:cat>
            <c:strRef>
              <c:f>Summary!$B$4:$B$16</c:f>
              <c:strCache>
                <c:ptCount val="13"/>
                <c:pt idx="0">
                  <c:v>fanout</c:v>
                </c:pt>
                <c:pt idx="1">
                  <c:v>AI场景</c:v>
                </c:pt>
                <c:pt idx="2">
                  <c:v>存储场景</c:v>
                </c:pt>
                <c:pt idx="3">
                  <c:v>网络场景</c:v>
                </c:pt>
                <c:pt idx="4">
                  <c:v>压力测试</c:v>
                </c:pt>
                <c:pt idx="5">
                  <c:v>协议类测试</c:v>
                </c:pt>
                <c:pt idx="6">
                  <c:v>PCISIG</c:v>
                </c:pt>
                <c:pt idx="7">
                  <c:v>PCIECV_USP</c:v>
                </c:pt>
                <c:pt idx="8">
                  <c:v>PCIECV_DSP</c:v>
                </c:pt>
                <c:pt idx="9">
                  <c:v>PBL</c:v>
                </c:pt>
                <c:pt idx="10">
                  <c:v>DMA</c:v>
                </c:pt>
                <c:pt idx="11">
                  <c:v>管理工具</c:v>
                </c:pt>
                <c:pt idx="12">
                  <c:v>兼容性</c:v>
                </c:pt>
              </c:strCache>
            </c:strRef>
          </c:cat>
          <c:val>
            <c:numRef>
              <c:f>Summary!$F$4:$F$16</c:f>
              <c:numCache>
                <c:formatCode>General</c:formatCode>
                <c:ptCount val="13"/>
                <c:pt idx="0">
                  <c:v>0</c:v>
                </c:pt>
                <c:pt idx="1">
                  <c:v>0</c:v>
                </c:pt>
                <c:pt idx="2">
                  <c:v>0</c:v>
                </c:pt>
                <c:pt idx="3">
                  <c:v>0</c:v>
                </c:pt>
                <c:pt idx="4">
                  <c:v>0</c:v>
                </c:pt>
                <c:pt idx="5">
                  <c:v>0</c:v>
                </c:pt>
                <c:pt idx="6">
                  <c:v>0</c:v>
                </c:pt>
                <c:pt idx="7">
                  <c:v>0</c:v>
                </c:pt>
                <c:pt idx="8">
                  <c:v>0</c:v>
                </c:pt>
                <c:pt idx="9">
                  <c:v>0</c:v>
                </c:pt>
                <c:pt idx="10">
                  <c:v>0</c:v>
                </c:pt>
                <c:pt idx="11">
                  <c:v>2</c:v>
                </c:pt>
                <c:pt idx="12">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3-6518-47E1-A9CA-32F85BBC4527}"/>
            </c:ext>
          </c:extLst>
        </c:ser>
        <c:dLbls>
          <c:showLegendKey val="0"/>
          <c:showVal val="0"/>
          <c:showCatName val="0"/>
          <c:showSerName val="0"/>
          <c:showPercent val="0"/>
          <c:showBubbleSize val="0"/>
        </c:dLbls>
        <c:gapWidth val="150"/>
        <c:overlap val="100"/>
        <c:axId val="516446111"/>
        <c:axId val="451586503"/>
      </c:barChart>
      <c:catAx>
        <c:axId val="516446111"/>
        <c:scaling>
          <c:orientation val="minMax"/>
        </c:scaling>
        <c:delete val="0"/>
        <c:axPos val="b"/>
        <c:numFmt formatCode="General" sourceLinked="1"/>
        <c:majorTickMark val="cross"/>
        <c:minorTickMark val="cross"/>
        <c:tickLblPos val="nextTo"/>
        <c:txPr>
          <a:bodyPr/>
          <a:lstStyle/>
          <a:p>
            <a:pPr>
              <a:defRPr b="0" i="0"/>
            </a:pPr>
            <a:endParaRPr lang="zh-CN"/>
          </a:p>
        </c:txPr>
        <c:crossAx val="451586503"/>
        <c:crosses val="autoZero"/>
        <c:auto val="1"/>
        <c:lblAlgn val="ctr"/>
        <c:lblOffset val="100"/>
        <c:noMultiLvlLbl val="1"/>
      </c:catAx>
      <c:valAx>
        <c:axId val="451586503"/>
        <c:scaling>
          <c:orientation val="minMax"/>
        </c:scaling>
        <c:delete val="0"/>
        <c:axPos val="l"/>
        <c:numFmt formatCode="0%" sourceLinked="1"/>
        <c:majorTickMark val="cross"/>
        <c:minorTickMark val="cross"/>
        <c:tickLblPos val="nextTo"/>
        <c:txPr>
          <a:bodyPr/>
          <a:lstStyle/>
          <a:p>
            <a:pPr>
              <a:defRPr b="0" i="0"/>
            </a:pPr>
            <a:endParaRPr lang="zh-CN"/>
          </a:p>
        </c:txPr>
        <c:crossAx val="516446111"/>
        <c:crosses val="autoZero"/>
        <c:crossBetween val="between"/>
      </c:valAx>
    </c:plotArea>
    <c:legend>
      <c:legendPos val="b"/>
      <c:overlay val="0"/>
      <c:txPr>
        <a:bodyPr/>
        <a:lstStyle/>
        <a:p>
          <a:pPr>
            <a:defRPr b="0" i="0"/>
          </a:pPr>
          <a:endParaRPr lang="zh-CN"/>
        </a:p>
      </c:txPr>
    </c:legend>
    <c:plotVisOnly val="1"/>
    <c:dispBlanksAs val="zero"/>
    <c:showDLblsOverMax val="1"/>
  </c:chart>
  <c:spPr>
    <a:solidFill>
      <a:srgbClr val="FFFFFF"/>
    </a:solidFill>
  </c:sp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1"/>
  <c:style val="2"/>
  <c:chart>
    <c:autoTitleDeleted val="1"/>
    <c:plotArea>
      <c:layout/>
      <c:barChart>
        <c:barDir val="col"/>
        <c:grouping val="percentStacked"/>
        <c:varyColors val="1"/>
        <c:ser>
          <c:idx val="0"/>
          <c:order val="0"/>
          <c:tx>
            <c:strRef>
              <c:f>'自动Summary(副本)'!$C$44</c:f>
              <c:strCache>
                <c:ptCount val="1"/>
                <c:pt idx="0">
                  <c:v>PASS</c:v>
                </c:pt>
              </c:strCache>
            </c:strRef>
          </c:tx>
          <c:spPr>
            <a:solidFill>
              <a:srgbClr val="4472C4"/>
            </a:solidFill>
          </c:spPr>
          <c:invertIfNegative val="1"/>
          <c:cat>
            <c:strRef>
              <c:f>'自动Summary(副本)'!$B$45:$B$68</c:f>
              <c:strCache>
                <c:ptCount val="24"/>
                <c:pt idx="0">
                  <c:v>枚举</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pt idx="23">
                  <c:v>PCIE_SYS_GPIOMux</c:v>
                </c:pt>
              </c:strCache>
            </c:strRef>
          </c:cat>
          <c:val>
            <c:numRef>
              <c:f>'自动Summary(副本)'!$C$45:$C$68</c:f>
              <c:numCache>
                <c:formatCode>General</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0-4DB8-4608-859F-437DEB3ACE05}"/>
            </c:ext>
          </c:extLst>
        </c:ser>
        <c:ser>
          <c:idx val="1"/>
          <c:order val="1"/>
          <c:tx>
            <c:strRef>
              <c:f>'自动Summary(副本)'!$D$44</c:f>
              <c:strCache>
                <c:ptCount val="1"/>
                <c:pt idx="0">
                  <c:v>FAIL</c:v>
                </c:pt>
              </c:strCache>
            </c:strRef>
          </c:tx>
          <c:spPr>
            <a:solidFill>
              <a:srgbClr val="ED7D31"/>
            </a:solidFill>
          </c:spPr>
          <c:invertIfNegative val="1"/>
          <c:cat>
            <c:strRef>
              <c:f>'自动Summary(副本)'!$B$45:$B$68</c:f>
              <c:strCache>
                <c:ptCount val="24"/>
                <c:pt idx="0">
                  <c:v>枚举</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pt idx="23">
                  <c:v>PCIE_SYS_GPIOMux</c:v>
                </c:pt>
              </c:strCache>
            </c:strRef>
          </c:cat>
          <c:val>
            <c:numRef>
              <c:f>'自动Summary(副本)'!$D$45:$D$68</c:f>
              <c:numCache>
                <c:formatCode>General</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1-4DB8-4608-859F-437DEB3ACE05}"/>
            </c:ext>
          </c:extLst>
        </c:ser>
        <c:ser>
          <c:idx val="2"/>
          <c:order val="2"/>
          <c:tx>
            <c:strRef>
              <c:f>'自动Summary(副本)'!$E$44</c:f>
              <c:strCache>
                <c:ptCount val="1"/>
                <c:pt idx="0">
                  <c:v>NT</c:v>
                </c:pt>
              </c:strCache>
            </c:strRef>
          </c:tx>
          <c:spPr>
            <a:solidFill>
              <a:srgbClr val="A5A5A5"/>
            </a:solidFill>
          </c:spPr>
          <c:invertIfNegative val="1"/>
          <c:cat>
            <c:strRef>
              <c:f>'自动Summary(副本)'!$B$45:$B$68</c:f>
              <c:strCache>
                <c:ptCount val="24"/>
                <c:pt idx="0">
                  <c:v>枚举</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pt idx="23">
                  <c:v>PCIE_SYS_GPIOMux</c:v>
                </c:pt>
              </c:strCache>
            </c:strRef>
          </c:cat>
          <c:val>
            <c:numRef>
              <c:f>'自动Summary(副本)'!$E$45:$E$68</c:f>
              <c:numCache>
                <c:formatCode>General</c:formatCode>
                <c:ptCount val="24"/>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2-4DB8-4608-859F-437DEB3ACE05}"/>
            </c:ext>
          </c:extLst>
        </c:ser>
        <c:dLbls>
          <c:showLegendKey val="0"/>
          <c:showVal val="0"/>
          <c:showCatName val="0"/>
          <c:showSerName val="0"/>
          <c:showPercent val="0"/>
          <c:showBubbleSize val="0"/>
        </c:dLbls>
        <c:gapWidth val="150"/>
        <c:overlap val="100"/>
        <c:axId val="725685043"/>
        <c:axId val="381822348"/>
      </c:barChart>
      <c:catAx>
        <c:axId val="725685043"/>
        <c:scaling>
          <c:orientation val="minMax"/>
        </c:scaling>
        <c:delete val="0"/>
        <c:axPos val="b"/>
        <c:numFmt formatCode="General" sourceLinked="1"/>
        <c:majorTickMark val="cross"/>
        <c:minorTickMark val="cross"/>
        <c:tickLblPos val="nextTo"/>
        <c:txPr>
          <a:bodyPr/>
          <a:lstStyle/>
          <a:p>
            <a:pPr>
              <a:defRPr b="0" i="0"/>
            </a:pPr>
            <a:endParaRPr lang="zh-CN"/>
          </a:p>
        </c:txPr>
        <c:crossAx val="381822348"/>
        <c:crosses val="autoZero"/>
        <c:auto val="1"/>
        <c:lblAlgn val="ctr"/>
        <c:lblOffset val="100"/>
        <c:noMultiLvlLbl val="1"/>
      </c:catAx>
      <c:valAx>
        <c:axId val="381822348"/>
        <c:scaling>
          <c:orientation val="minMax"/>
        </c:scaling>
        <c:delete val="0"/>
        <c:axPos val="l"/>
        <c:numFmt formatCode="0%" sourceLinked="1"/>
        <c:majorTickMark val="cross"/>
        <c:minorTickMark val="cross"/>
        <c:tickLblPos val="nextTo"/>
        <c:txPr>
          <a:bodyPr/>
          <a:lstStyle/>
          <a:p>
            <a:pPr>
              <a:defRPr b="0" i="0"/>
            </a:pPr>
            <a:endParaRPr lang="zh-CN"/>
          </a:p>
        </c:txPr>
        <c:crossAx val="725685043"/>
        <c:crosses val="autoZero"/>
        <c:crossBetween val="between"/>
      </c:valAx>
    </c:plotArea>
    <c:legend>
      <c:legendPos val="b"/>
      <c:overlay val="0"/>
      <c:txPr>
        <a:bodyPr/>
        <a:lstStyle/>
        <a:p>
          <a:pPr>
            <a:defRPr b="0" i="0"/>
          </a:pPr>
          <a:endParaRPr lang="zh-CN"/>
        </a:p>
      </c:txPr>
    </c:legend>
    <c:plotVisOnly val="1"/>
    <c:dispBlanksAs val="zero"/>
    <c:showDLblsOverMax val="1"/>
  </c:chart>
  <c:spPr>
    <a:solidFill>
      <a:schemeClr val="bg1"/>
    </a:solidFill>
  </c:sp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1"/>
  <c:style val="2"/>
  <c:chart>
    <c:autoTitleDeleted val="1"/>
    <c:plotArea>
      <c:layout/>
      <c:barChart>
        <c:barDir val="col"/>
        <c:grouping val="percentStacked"/>
        <c:varyColors val="1"/>
        <c:ser>
          <c:idx val="0"/>
          <c:order val="0"/>
          <c:tx>
            <c:strRef>
              <c:f>'自动Summary(副本)'!$C$23</c:f>
              <c:strCache>
                <c:ptCount val="1"/>
                <c:pt idx="0">
                  <c:v>PASS</c:v>
                </c:pt>
              </c:strCache>
            </c:strRef>
          </c:tx>
          <c:spPr>
            <a:solidFill>
              <a:srgbClr val="4472C4"/>
            </a:solidFill>
          </c:spPr>
          <c:invertIfNegative val="1"/>
          <c:cat>
            <c:strRef>
              <c:f>'自动Summary(副本)'!$B$24:$B$39</c:f>
              <c:strCache>
                <c:ptCount val="16"/>
                <c:pt idx="0">
                  <c:v>筛片</c:v>
                </c:pt>
                <c:pt idx="1">
                  <c:v>fanout</c:v>
                </c:pt>
                <c:pt idx="2">
                  <c:v>AI场景</c:v>
                </c:pt>
                <c:pt idx="3">
                  <c:v>存储场景</c:v>
                </c:pt>
                <c:pt idx="4">
                  <c:v>网络场景</c:v>
                </c:pt>
                <c:pt idx="5">
                  <c:v>性能稳定性场景</c:v>
                </c:pt>
                <c:pt idx="6">
                  <c:v>虚拟化场景待删除</c:v>
                </c:pt>
                <c:pt idx="7">
                  <c:v>协议类测试</c:v>
                </c:pt>
                <c:pt idx="8">
                  <c:v>PCISIG</c:v>
                </c:pt>
                <c:pt idx="9">
                  <c:v>PCIECV_USP</c:v>
                </c:pt>
                <c:pt idx="10">
                  <c:v>PCIECV_DSP</c:v>
                </c:pt>
                <c:pt idx="11">
                  <c:v>PBL</c:v>
                </c:pt>
                <c:pt idx="12">
                  <c:v>DMA</c:v>
                </c:pt>
                <c:pt idx="13">
                  <c:v>管理工具</c:v>
                </c:pt>
                <c:pt idx="14">
                  <c:v>NTB</c:v>
                </c:pt>
                <c:pt idx="15">
                  <c:v>兼容性</c:v>
                </c:pt>
              </c:strCache>
            </c:strRef>
          </c:cat>
          <c:val>
            <c:numRef>
              <c:f>'自动Summary(副本)'!$C$24:$C$39</c:f>
              <c:numCache>
                <c:formatCode>General</c:formatCode>
                <c:ptCount val="1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0-5B82-4B51-BF92-ABC69AD7E742}"/>
            </c:ext>
          </c:extLst>
        </c:ser>
        <c:ser>
          <c:idx val="1"/>
          <c:order val="1"/>
          <c:tx>
            <c:strRef>
              <c:f>'自动Summary(副本)'!$D$23</c:f>
              <c:strCache>
                <c:ptCount val="1"/>
                <c:pt idx="0">
                  <c:v>FAIL</c:v>
                </c:pt>
              </c:strCache>
            </c:strRef>
          </c:tx>
          <c:spPr>
            <a:solidFill>
              <a:srgbClr val="ED7D31"/>
            </a:solidFill>
          </c:spPr>
          <c:invertIfNegative val="1"/>
          <c:cat>
            <c:strRef>
              <c:f>'自动Summary(副本)'!$B$24:$B$39</c:f>
              <c:strCache>
                <c:ptCount val="16"/>
                <c:pt idx="0">
                  <c:v>筛片</c:v>
                </c:pt>
                <c:pt idx="1">
                  <c:v>fanout</c:v>
                </c:pt>
                <c:pt idx="2">
                  <c:v>AI场景</c:v>
                </c:pt>
                <c:pt idx="3">
                  <c:v>存储场景</c:v>
                </c:pt>
                <c:pt idx="4">
                  <c:v>网络场景</c:v>
                </c:pt>
                <c:pt idx="5">
                  <c:v>性能稳定性场景</c:v>
                </c:pt>
                <c:pt idx="6">
                  <c:v>虚拟化场景待删除</c:v>
                </c:pt>
                <c:pt idx="7">
                  <c:v>协议类测试</c:v>
                </c:pt>
                <c:pt idx="8">
                  <c:v>PCISIG</c:v>
                </c:pt>
                <c:pt idx="9">
                  <c:v>PCIECV_USP</c:v>
                </c:pt>
                <c:pt idx="10">
                  <c:v>PCIECV_DSP</c:v>
                </c:pt>
                <c:pt idx="11">
                  <c:v>PBL</c:v>
                </c:pt>
                <c:pt idx="12">
                  <c:v>DMA</c:v>
                </c:pt>
                <c:pt idx="13">
                  <c:v>管理工具</c:v>
                </c:pt>
                <c:pt idx="14">
                  <c:v>NTB</c:v>
                </c:pt>
                <c:pt idx="15">
                  <c:v>兼容性</c:v>
                </c:pt>
              </c:strCache>
            </c:strRef>
          </c:cat>
          <c:val>
            <c:numRef>
              <c:f>'自动Summary(副本)'!$D$24:$D$39</c:f>
              <c:numCache>
                <c:formatCode>General</c:formatCode>
                <c:ptCount val="1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1-5B82-4B51-BF92-ABC69AD7E742}"/>
            </c:ext>
          </c:extLst>
        </c:ser>
        <c:ser>
          <c:idx val="2"/>
          <c:order val="2"/>
          <c:tx>
            <c:strRef>
              <c:f>'自动Summary(副本)'!$E$23</c:f>
              <c:strCache>
                <c:ptCount val="1"/>
                <c:pt idx="0">
                  <c:v>NT</c:v>
                </c:pt>
              </c:strCache>
            </c:strRef>
          </c:tx>
          <c:spPr>
            <a:solidFill>
              <a:srgbClr val="A5A5A5"/>
            </a:solidFill>
          </c:spPr>
          <c:invertIfNegative val="1"/>
          <c:cat>
            <c:strRef>
              <c:f>'自动Summary(副本)'!$B$24:$B$39</c:f>
              <c:strCache>
                <c:ptCount val="16"/>
                <c:pt idx="0">
                  <c:v>筛片</c:v>
                </c:pt>
                <c:pt idx="1">
                  <c:v>fanout</c:v>
                </c:pt>
                <c:pt idx="2">
                  <c:v>AI场景</c:v>
                </c:pt>
                <c:pt idx="3">
                  <c:v>存储场景</c:v>
                </c:pt>
                <c:pt idx="4">
                  <c:v>网络场景</c:v>
                </c:pt>
                <c:pt idx="5">
                  <c:v>性能稳定性场景</c:v>
                </c:pt>
                <c:pt idx="6">
                  <c:v>虚拟化场景待删除</c:v>
                </c:pt>
                <c:pt idx="7">
                  <c:v>协议类测试</c:v>
                </c:pt>
                <c:pt idx="8">
                  <c:v>PCISIG</c:v>
                </c:pt>
                <c:pt idx="9">
                  <c:v>PCIECV_USP</c:v>
                </c:pt>
                <c:pt idx="10">
                  <c:v>PCIECV_DSP</c:v>
                </c:pt>
                <c:pt idx="11">
                  <c:v>PBL</c:v>
                </c:pt>
                <c:pt idx="12">
                  <c:v>DMA</c:v>
                </c:pt>
                <c:pt idx="13">
                  <c:v>管理工具</c:v>
                </c:pt>
                <c:pt idx="14">
                  <c:v>NTB</c:v>
                </c:pt>
                <c:pt idx="15">
                  <c:v>兼容性</c:v>
                </c:pt>
              </c:strCache>
            </c:strRef>
          </c:cat>
          <c:val>
            <c:numRef>
              <c:f>'自动Summary(副本)'!$E$24:$E$39</c:f>
              <c:numCache>
                <c:formatCode>General</c:formatCode>
                <c:ptCount val="1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2-5B82-4B51-BF92-ABC69AD7E742}"/>
            </c:ext>
          </c:extLst>
        </c:ser>
        <c:dLbls>
          <c:showLegendKey val="0"/>
          <c:showVal val="0"/>
          <c:showCatName val="0"/>
          <c:showSerName val="0"/>
          <c:showPercent val="0"/>
          <c:showBubbleSize val="0"/>
        </c:dLbls>
        <c:gapWidth val="150"/>
        <c:overlap val="100"/>
        <c:axId val="778938615"/>
        <c:axId val="300154953"/>
      </c:barChart>
      <c:catAx>
        <c:axId val="778938615"/>
        <c:scaling>
          <c:orientation val="minMax"/>
        </c:scaling>
        <c:delete val="0"/>
        <c:axPos val="b"/>
        <c:numFmt formatCode="General" sourceLinked="1"/>
        <c:majorTickMark val="cross"/>
        <c:minorTickMark val="cross"/>
        <c:tickLblPos val="nextTo"/>
        <c:txPr>
          <a:bodyPr/>
          <a:lstStyle/>
          <a:p>
            <a:pPr>
              <a:defRPr b="0" i="0"/>
            </a:pPr>
            <a:endParaRPr lang="zh-CN"/>
          </a:p>
        </c:txPr>
        <c:crossAx val="300154953"/>
        <c:crosses val="autoZero"/>
        <c:auto val="1"/>
        <c:lblAlgn val="ctr"/>
        <c:lblOffset val="100"/>
        <c:noMultiLvlLbl val="1"/>
      </c:catAx>
      <c:valAx>
        <c:axId val="300154953"/>
        <c:scaling>
          <c:orientation val="minMax"/>
        </c:scaling>
        <c:delete val="0"/>
        <c:axPos val="l"/>
        <c:numFmt formatCode="0%" sourceLinked="1"/>
        <c:majorTickMark val="cross"/>
        <c:minorTickMark val="cross"/>
        <c:tickLblPos val="nextTo"/>
        <c:txPr>
          <a:bodyPr/>
          <a:lstStyle/>
          <a:p>
            <a:pPr>
              <a:defRPr b="0" i="0"/>
            </a:pPr>
            <a:endParaRPr lang="zh-CN"/>
          </a:p>
        </c:txPr>
        <c:crossAx val="778938615"/>
        <c:crosses val="autoZero"/>
        <c:crossBetween val="between"/>
      </c:valAx>
    </c:plotArea>
    <c:legend>
      <c:legendPos val="b"/>
      <c:overlay val="0"/>
      <c:txPr>
        <a:bodyPr/>
        <a:lstStyle/>
        <a:p>
          <a:pPr>
            <a:defRPr b="0" i="0"/>
          </a:pPr>
          <a:endParaRPr lang="zh-CN"/>
        </a:p>
      </c:txPr>
    </c:legend>
    <c:plotVisOnly val="1"/>
    <c:dispBlanksAs val="zero"/>
    <c:showDLblsOverMax val="1"/>
  </c:chart>
  <c:spPr>
    <a:solidFill>
      <a:schemeClr val="bg1"/>
    </a:solidFill>
  </c:sp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1"/>
  <c:style val="2"/>
  <c:chart>
    <c:autoTitleDeleted val="1"/>
    <c:plotArea>
      <c:layout/>
      <c:barChart>
        <c:barDir val="col"/>
        <c:grouping val="percentStacked"/>
        <c:varyColors val="1"/>
        <c:ser>
          <c:idx val="0"/>
          <c:order val="0"/>
          <c:tx>
            <c:strRef>
              <c:f>'自动Summary(副本)'!$C$73</c:f>
              <c:strCache>
                <c:ptCount val="1"/>
                <c:pt idx="0">
                  <c:v>PASS</c:v>
                </c:pt>
              </c:strCache>
            </c:strRef>
          </c:tx>
          <c:spPr>
            <a:solidFill>
              <a:srgbClr val="4472C4"/>
            </a:solidFill>
          </c:spPr>
          <c:invertIfNegative val="1"/>
          <c:cat>
            <c:strRef>
              <c:f>'自动Summary(副本)'!$B$74:$B$96</c:f>
              <c:strCache>
                <c:ptCount val="23"/>
                <c:pt idx="0">
                  <c:v>枚举</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strCache>
            </c:strRef>
          </c:cat>
          <c:val>
            <c:numRef>
              <c:f>'自动Summary(副本)'!$C$74:$C$96</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0-BB0D-4D79-819A-E4ABA4A4FD19}"/>
            </c:ext>
          </c:extLst>
        </c:ser>
        <c:ser>
          <c:idx val="1"/>
          <c:order val="1"/>
          <c:tx>
            <c:strRef>
              <c:f>'自动Summary(副本)'!$D$73</c:f>
              <c:strCache>
                <c:ptCount val="1"/>
                <c:pt idx="0">
                  <c:v>FAIL</c:v>
                </c:pt>
              </c:strCache>
            </c:strRef>
          </c:tx>
          <c:spPr>
            <a:solidFill>
              <a:srgbClr val="ED7D31"/>
            </a:solidFill>
          </c:spPr>
          <c:invertIfNegative val="1"/>
          <c:cat>
            <c:strRef>
              <c:f>'自动Summary(副本)'!$B$74:$B$96</c:f>
              <c:strCache>
                <c:ptCount val="23"/>
                <c:pt idx="0">
                  <c:v>枚举</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strCache>
            </c:strRef>
          </c:cat>
          <c:val>
            <c:numRef>
              <c:f>'自动Summary(副本)'!$D$74:$D$96</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1-BB0D-4D79-819A-E4ABA4A4FD19}"/>
            </c:ext>
          </c:extLst>
        </c:ser>
        <c:ser>
          <c:idx val="2"/>
          <c:order val="2"/>
          <c:tx>
            <c:strRef>
              <c:f>'自动Summary(副本)'!$E$73</c:f>
              <c:strCache>
                <c:ptCount val="1"/>
                <c:pt idx="0">
                  <c:v>NT</c:v>
                </c:pt>
              </c:strCache>
            </c:strRef>
          </c:tx>
          <c:spPr>
            <a:solidFill>
              <a:srgbClr val="A5A5A5"/>
            </a:solidFill>
          </c:spPr>
          <c:invertIfNegative val="1"/>
          <c:cat>
            <c:strRef>
              <c:f>'自动Summary(副本)'!$B$74:$B$96</c:f>
              <c:strCache>
                <c:ptCount val="23"/>
                <c:pt idx="0">
                  <c:v>枚举</c:v>
                </c:pt>
                <c:pt idx="1">
                  <c:v>RST</c:v>
                </c:pt>
                <c:pt idx="2">
                  <c:v>MEM</c:v>
                </c:pt>
                <c:pt idx="3">
                  <c:v>CFG</c:v>
                </c:pt>
                <c:pt idx="4">
                  <c:v>CPL</c:v>
                </c:pt>
                <c:pt idx="5">
                  <c:v>IO</c:v>
                </c:pt>
                <c:pt idx="6">
                  <c:v>MSG</c:v>
                </c:pt>
                <c:pt idx="7">
                  <c:v>INT</c:v>
                </c:pt>
                <c:pt idx="8">
                  <c:v>ATOMIC</c:v>
                </c:pt>
                <c:pt idx="9">
                  <c:v>SLOT</c:v>
                </c:pt>
                <c:pt idx="10">
                  <c:v>MPS</c:v>
                </c:pt>
                <c:pt idx="11">
                  <c:v>ATTR</c:v>
                </c:pt>
                <c:pt idx="12">
                  <c:v>TAG</c:v>
                </c:pt>
                <c:pt idx="13">
                  <c:v>ARI</c:v>
                </c:pt>
                <c:pt idx="14">
                  <c:v>LOCKED</c:v>
                </c:pt>
                <c:pt idx="15">
                  <c:v>ERR</c:v>
                </c:pt>
                <c:pt idx="16">
                  <c:v>AER</c:v>
                </c:pt>
                <c:pt idx="17">
                  <c:v>PM</c:v>
                </c:pt>
                <c:pt idx="18">
                  <c:v>LINK</c:v>
                </c:pt>
                <c:pt idx="19">
                  <c:v>PREFIX</c:v>
                </c:pt>
                <c:pt idx="20">
                  <c:v>DPC</c:v>
                </c:pt>
                <c:pt idx="21">
                  <c:v>HP</c:v>
                </c:pt>
                <c:pt idx="22">
                  <c:v>NPEM</c:v>
                </c:pt>
              </c:strCache>
            </c:strRef>
          </c:cat>
          <c:val>
            <c:numRef>
              <c:f>'自动Summary(副本)'!$E$74:$E$96</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2-BB0D-4D79-819A-E4ABA4A4FD19}"/>
            </c:ext>
          </c:extLst>
        </c:ser>
        <c:dLbls>
          <c:showLegendKey val="0"/>
          <c:showVal val="0"/>
          <c:showCatName val="0"/>
          <c:showSerName val="0"/>
          <c:showPercent val="0"/>
          <c:showBubbleSize val="0"/>
        </c:dLbls>
        <c:gapWidth val="150"/>
        <c:overlap val="100"/>
        <c:axId val="752519903"/>
        <c:axId val="731204946"/>
      </c:barChart>
      <c:catAx>
        <c:axId val="752519903"/>
        <c:scaling>
          <c:orientation val="minMax"/>
        </c:scaling>
        <c:delete val="0"/>
        <c:axPos val="b"/>
        <c:numFmt formatCode="General" sourceLinked="1"/>
        <c:majorTickMark val="cross"/>
        <c:minorTickMark val="cross"/>
        <c:tickLblPos val="nextTo"/>
        <c:txPr>
          <a:bodyPr/>
          <a:lstStyle/>
          <a:p>
            <a:pPr>
              <a:defRPr b="0" i="0"/>
            </a:pPr>
            <a:endParaRPr lang="zh-CN"/>
          </a:p>
        </c:txPr>
        <c:crossAx val="731204946"/>
        <c:crosses val="autoZero"/>
        <c:auto val="1"/>
        <c:lblAlgn val="ctr"/>
        <c:lblOffset val="100"/>
        <c:noMultiLvlLbl val="1"/>
      </c:catAx>
      <c:valAx>
        <c:axId val="731204946"/>
        <c:scaling>
          <c:orientation val="minMax"/>
        </c:scaling>
        <c:delete val="0"/>
        <c:axPos val="l"/>
        <c:numFmt formatCode="0%" sourceLinked="1"/>
        <c:majorTickMark val="cross"/>
        <c:minorTickMark val="cross"/>
        <c:tickLblPos val="nextTo"/>
        <c:txPr>
          <a:bodyPr/>
          <a:lstStyle/>
          <a:p>
            <a:pPr>
              <a:defRPr b="0" i="0"/>
            </a:pPr>
            <a:endParaRPr lang="zh-CN"/>
          </a:p>
        </c:txPr>
        <c:crossAx val="752519903"/>
        <c:crosses val="autoZero"/>
        <c:crossBetween val="between"/>
      </c:valAx>
    </c:plotArea>
    <c:legend>
      <c:legendPos val="b"/>
      <c:overlay val="0"/>
      <c:txPr>
        <a:bodyPr/>
        <a:lstStyle/>
        <a:p>
          <a:pPr>
            <a:defRPr b="0" i="0"/>
          </a:pPr>
          <a:endParaRPr lang="zh-CN"/>
        </a:p>
      </c:txPr>
    </c:legend>
    <c:plotVisOnly val="1"/>
    <c:dispBlanksAs val="zero"/>
    <c:showDLblsOverMax val="1"/>
  </c:chart>
  <c:spPr>
    <a:solidFill>
      <a:schemeClr val="bg1"/>
    </a:solidFill>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1"/>
  <c:style val="2"/>
  <c:chart>
    <c:autoTitleDeleted val="1"/>
    <c:plotArea>
      <c:layout/>
      <c:barChart>
        <c:barDir val="col"/>
        <c:grouping val="percentStacked"/>
        <c:varyColors val="1"/>
        <c:ser>
          <c:idx val="0"/>
          <c:order val="0"/>
          <c:tx>
            <c:strRef>
              <c:f>'自动Summary(副本)'!$C$3</c:f>
              <c:strCache>
                <c:ptCount val="1"/>
                <c:pt idx="0">
                  <c:v>PASS</c:v>
                </c:pt>
              </c:strCache>
            </c:strRef>
          </c:tx>
          <c:spPr>
            <a:solidFill>
              <a:srgbClr val="4472C4"/>
            </a:solidFill>
          </c:spPr>
          <c:invertIfNegative val="1"/>
          <c:cat>
            <c:strRef>
              <c:f>'自动Summary(副本)'!$B$4:$B$18</c:f>
              <c:strCache>
                <c:ptCount val="15"/>
                <c:pt idx="0">
                  <c:v>筛片(优先)</c:v>
                </c:pt>
                <c:pt idx="1">
                  <c:v>fanout(优先)</c:v>
                </c:pt>
                <c:pt idx="2">
                  <c:v>AI场景</c:v>
                </c:pt>
                <c:pt idx="3">
                  <c:v>存储场景</c:v>
                </c:pt>
                <c:pt idx="4">
                  <c:v>网络场景</c:v>
                </c:pt>
                <c:pt idx="5">
                  <c:v>性能稳定性场景</c:v>
                </c:pt>
                <c:pt idx="6">
                  <c:v>虚拟化场景待删除</c:v>
                </c:pt>
                <c:pt idx="7">
                  <c:v>协议类测试</c:v>
                </c:pt>
                <c:pt idx="8">
                  <c:v>PCISIG</c:v>
                </c:pt>
                <c:pt idx="9">
                  <c:v>PCIECV_USP</c:v>
                </c:pt>
                <c:pt idx="10">
                  <c:v>PCIECV_DSP</c:v>
                </c:pt>
                <c:pt idx="11">
                  <c:v>PBL</c:v>
                </c:pt>
                <c:pt idx="12">
                  <c:v>DMA</c:v>
                </c:pt>
                <c:pt idx="13">
                  <c:v>管理工具</c:v>
                </c:pt>
                <c:pt idx="14">
                  <c:v>兼容性</c:v>
                </c:pt>
              </c:strCache>
            </c:strRef>
          </c:cat>
          <c:val>
            <c:numRef>
              <c:f>'自动Summary(副本)'!$C$4:$C$18</c:f>
              <c:numCache>
                <c:formatCode>General</c:formatCode>
                <c:ptCount val="15"/>
                <c:pt idx="0">
                  <c:v>1</c:v>
                </c:pt>
                <c:pt idx="1">
                  <c:v>0</c:v>
                </c:pt>
                <c:pt idx="2">
                  <c:v>0</c:v>
                </c:pt>
                <c:pt idx="3">
                  <c:v>0</c:v>
                </c:pt>
                <c:pt idx="4">
                  <c:v>0</c:v>
                </c:pt>
                <c:pt idx="5">
                  <c:v>0</c:v>
                </c:pt>
                <c:pt idx="6">
                  <c:v>0</c:v>
                </c:pt>
                <c:pt idx="7">
                  <c:v>0</c:v>
                </c:pt>
                <c:pt idx="8">
                  <c:v>0</c:v>
                </c:pt>
                <c:pt idx="9">
                  <c:v>0</c:v>
                </c:pt>
                <c:pt idx="10">
                  <c:v>0</c:v>
                </c:pt>
                <c:pt idx="11">
                  <c:v>0</c:v>
                </c:pt>
                <c:pt idx="12">
                  <c:v>0</c:v>
                </c:pt>
                <c:pt idx="13">
                  <c:v>0</c:v>
                </c:pt>
                <c:pt idx="14">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0-D830-4053-BF66-E6F80FEE19A0}"/>
            </c:ext>
          </c:extLst>
        </c:ser>
        <c:ser>
          <c:idx val="1"/>
          <c:order val="1"/>
          <c:tx>
            <c:strRef>
              <c:f>'自动Summary(副本)'!$D$3</c:f>
              <c:strCache>
                <c:ptCount val="1"/>
                <c:pt idx="0">
                  <c:v>FAIL</c:v>
                </c:pt>
              </c:strCache>
            </c:strRef>
          </c:tx>
          <c:spPr>
            <a:solidFill>
              <a:srgbClr val="ED7D31"/>
            </a:solidFill>
          </c:spPr>
          <c:invertIfNegative val="1"/>
          <c:cat>
            <c:strRef>
              <c:f>'自动Summary(副本)'!$B$4:$B$18</c:f>
              <c:strCache>
                <c:ptCount val="15"/>
                <c:pt idx="0">
                  <c:v>筛片(优先)</c:v>
                </c:pt>
                <c:pt idx="1">
                  <c:v>fanout(优先)</c:v>
                </c:pt>
                <c:pt idx="2">
                  <c:v>AI场景</c:v>
                </c:pt>
                <c:pt idx="3">
                  <c:v>存储场景</c:v>
                </c:pt>
                <c:pt idx="4">
                  <c:v>网络场景</c:v>
                </c:pt>
                <c:pt idx="5">
                  <c:v>性能稳定性场景</c:v>
                </c:pt>
                <c:pt idx="6">
                  <c:v>虚拟化场景待删除</c:v>
                </c:pt>
                <c:pt idx="7">
                  <c:v>协议类测试</c:v>
                </c:pt>
                <c:pt idx="8">
                  <c:v>PCISIG</c:v>
                </c:pt>
                <c:pt idx="9">
                  <c:v>PCIECV_USP</c:v>
                </c:pt>
                <c:pt idx="10">
                  <c:v>PCIECV_DSP</c:v>
                </c:pt>
                <c:pt idx="11">
                  <c:v>PBL</c:v>
                </c:pt>
                <c:pt idx="12">
                  <c:v>DMA</c:v>
                </c:pt>
                <c:pt idx="13">
                  <c:v>管理工具</c:v>
                </c:pt>
                <c:pt idx="14">
                  <c:v>兼容性</c:v>
                </c:pt>
              </c:strCache>
            </c:strRef>
          </c:cat>
          <c:val>
            <c:numRef>
              <c:f>'自动Summary(副本)'!$D$4:$D$18</c:f>
              <c:numCache>
                <c:formatCode>General</c:formatCode>
                <c:ptCount val="1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1-D830-4053-BF66-E6F80FEE19A0}"/>
            </c:ext>
          </c:extLst>
        </c:ser>
        <c:ser>
          <c:idx val="2"/>
          <c:order val="2"/>
          <c:tx>
            <c:strRef>
              <c:f>'自动Summary(副本)'!$E$3</c:f>
              <c:strCache>
                <c:ptCount val="1"/>
                <c:pt idx="0">
                  <c:v>NT</c:v>
                </c:pt>
              </c:strCache>
            </c:strRef>
          </c:tx>
          <c:spPr>
            <a:solidFill>
              <a:srgbClr val="A5A5A5"/>
            </a:solidFill>
          </c:spPr>
          <c:invertIfNegative val="1"/>
          <c:cat>
            <c:strRef>
              <c:f>'自动Summary(副本)'!$B$4:$B$18</c:f>
              <c:strCache>
                <c:ptCount val="15"/>
                <c:pt idx="0">
                  <c:v>筛片(优先)</c:v>
                </c:pt>
                <c:pt idx="1">
                  <c:v>fanout(优先)</c:v>
                </c:pt>
                <c:pt idx="2">
                  <c:v>AI场景</c:v>
                </c:pt>
                <c:pt idx="3">
                  <c:v>存储场景</c:v>
                </c:pt>
                <c:pt idx="4">
                  <c:v>网络场景</c:v>
                </c:pt>
                <c:pt idx="5">
                  <c:v>性能稳定性场景</c:v>
                </c:pt>
                <c:pt idx="6">
                  <c:v>虚拟化场景待删除</c:v>
                </c:pt>
                <c:pt idx="7">
                  <c:v>协议类测试</c:v>
                </c:pt>
                <c:pt idx="8">
                  <c:v>PCISIG</c:v>
                </c:pt>
                <c:pt idx="9">
                  <c:v>PCIECV_USP</c:v>
                </c:pt>
                <c:pt idx="10">
                  <c:v>PCIECV_DSP</c:v>
                </c:pt>
                <c:pt idx="11">
                  <c:v>PBL</c:v>
                </c:pt>
                <c:pt idx="12">
                  <c:v>DMA</c:v>
                </c:pt>
                <c:pt idx="13">
                  <c:v>管理工具</c:v>
                </c:pt>
                <c:pt idx="14">
                  <c:v>兼容性</c:v>
                </c:pt>
              </c:strCache>
            </c:strRef>
          </c:cat>
          <c:val>
            <c:numRef>
              <c:f>'自动Summary(副本)'!$E$4:$E$18</c:f>
              <c:numCache>
                <c:formatCode>General</c:formatCode>
                <c:ptCount val="15"/>
                <c:pt idx="0">
                  <c:v>0</c:v>
                </c:pt>
                <c:pt idx="1">
                  <c:v>14</c:v>
                </c:pt>
                <c:pt idx="2">
                  <c:v>0</c:v>
                </c:pt>
                <c:pt idx="3">
                  <c:v>18</c:v>
                </c:pt>
                <c:pt idx="4">
                  <c:v>0</c:v>
                </c:pt>
                <c:pt idx="5">
                  <c:v>0</c:v>
                </c:pt>
                <c:pt idx="6">
                  <c:v>0</c:v>
                </c:pt>
                <c:pt idx="7">
                  <c:v>0</c:v>
                </c:pt>
                <c:pt idx="8">
                  <c:v>0</c:v>
                </c:pt>
                <c:pt idx="9">
                  <c:v>0</c:v>
                </c:pt>
                <c:pt idx="10">
                  <c:v>0</c:v>
                </c:pt>
                <c:pt idx="11">
                  <c:v>0</c:v>
                </c:pt>
                <c:pt idx="12">
                  <c:v>7</c:v>
                </c:pt>
                <c:pt idx="13">
                  <c:v>0</c:v>
                </c:pt>
                <c:pt idx="14">
                  <c:v>0</c:v>
                </c:pt>
              </c:numCache>
            </c:numRef>
          </c:val>
          <c:extLst>
            <c:ext xmlns:c14="http://schemas.microsoft.com/office/drawing/2007/8/2/chart" uri="{6F2FDCE9-48DA-4B69-8628-5D25D57E5C99}">
              <c14:invertSolidFillFmt>
                <c14:spPr xmlns:c14="http://schemas.microsoft.com/office/drawing/2007/8/2/chart">
                  <a:solidFill>
                    <a:srgbClr val="FFFFFF"/>
                  </a:solidFill>
                </c14:spPr>
              </c14:invertSolidFillFmt>
            </c:ext>
            <c:ext xmlns:c16="http://schemas.microsoft.com/office/drawing/2014/chart" uri="{C3380CC4-5D6E-409C-BE32-E72D297353CC}">
              <c16:uniqueId val="{00000002-D830-4053-BF66-E6F80FEE19A0}"/>
            </c:ext>
          </c:extLst>
        </c:ser>
        <c:dLbls>
          <c:showLegendKey val="0"/>
          <c:showVal val="0"/>
          <c:showCatName val="0"/>
          <c:showSerName val="0"/>
          <c:showPercent val="0"/>
          <c:showBubbleSize val="0"/>
        </c:dLbls>
        <c:gapWidth val="150"/>
        <c:overlap val="100"/>
        <c:axId val="516446111"/>
        <c:axId val="451586503"/>
      </c:barChart>
      <c:catAx>
        <c:axId val="516446111"/>
        <c:scaling>
          <c:orientation val="minMax"/>
        </c:scaling>
        <c:delete val="0"/>
        <c:axPos val="b"/>
        <c:numFmt formatCode="General" sourceLinked="1"/>
        <c:majorTickMark val="cross"/>
        <c:minorTickMark val="cross"/>
        <c:tickLblPos val="nextTo"/>
        <c:txPr>
          <a:bodyPr/>
          <a:lstStyle/>
          <a:p>
            <a:pPr>
              <a:defRPr b="0" i="0"/>
            </a:pPr>
            <a:endParaRPr lang="zh-CN"/>
          </a:p>
        </c:txPr>
        <c:crossAx val="451586503"/>
        <c:crosses val="autoZero"/>
        <c:auto val="1"/>
        <c:lblAlgn val="ctr"/>
        <c:lblOffset val="100"/>
        <c:noMultiLvlLbl val="1"/>
      </c:catAx>
      <c:valAx>
        <c:axId val="451586503"/>
        <c:scaling>
          <c:orientation val="minMax"/>
        </c:scaling>
        <c:delete val="0"/>
        <c:axPos val="l"/>
        <c:numFmt formatCode="0%" sourceLinked="1"/>
        <c:majorTickMark val="cross"/>
        <c:minorTickMark val="cross"/>
        <c:tickLblPos val="nextTo"/>
        <c:txPr>
          <a:bodyPr/>
          <a:lstStyle/>
          <a:p>
            <a:pPr>
              <a:defRPr b="0" i="0"/>
            </a:pPr>
            <a:endParaRPr lang="zh-CN"/>
          </a:p>
        </c:txPr>
        <c:crossAx val="516446111"/>
        <c:crosses val="autoZero"/>
        <c:crossBetween val="between"/>
      </c:valAx>
    </c:plotArea>
    <c:legend>
      <c:legendPos val="b"/>
      <c:overlay val="0"/>
      <c:txPr>
        <a:bodyPr/>
        <a:lstStyle/>
        <a:p>
          <a:pPr>
            <a:defRPr b="0" i="0"/>
          </a:pPr>
          <a:endParaRPr lang="zh-CN"/>
        </a:p>
      </c:txPr>
    </c:legend>
    <c:plotVisOnly val="1"/>
    <c:dispBlanksAs val="zero"/>
    <c:showDLblsOverMax val="1"/>
  </c:chart>
  <c:spPr>
    <a:solidFill>
      <a:schemeClr val="bg1"/>
    </a:solidFill>
  </c:sp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s>
</file>

<file path=xl/drawings/_rels/drawing11.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8" Type="http://schemas.openxmlformats.org/officeDocument/2006/relationships/image" Target="../media/image10.jpg"/><Relationship Id="rId13" Type="http://schemas.openxmlformats.org/officeDocument/2006/relationships/image" Target="../media/image15.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jp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6.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3" Type="http://schemas.openxmlformats.org/officeDocument/2006/relationships/image" Target="../media/image27.png"/><Relationship Id="rId7" Type="http://schemas.openxmlformats.org/officeDocument/2006/relationships/image" Target="../media/image31.png"/><Relationship Id="rId2" Type="http://schemas.openxmlformats.org/officeDocument/2006/relationships/image" Target="../media/image26.png"/><Relationship Id="rId1" Type="http://schemas.openxmlformats.org/officeDocument/2006/relationships/image" Target="../media/image25.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9"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1.png"/><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s>
</file>

<file path=xl/drawings/_rels/drawing9.xml.rels><?xml version="1.0" encoding="UTF-8" standalone="yes"?>
<Relationships xmlns="http://schemas.openxmlformats.org/package/2006/relationships"><Relationship Id="rId1"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oneCellAnchor>
    <xdr:from>
      <xdr:col>1</xdr:col>
      <xdr:colOff>895350</xdr:colOff>
      <xdr:row>33</xdr:row>
      <xdr:rowOff>66675</xdr:rowOff>
    </xdr:from>
    <xdr:ext cx="3810000" cy="2371725"/>
    <xdr:pic>
      <xdr:nvPicPr>
        <xdr:cNvPr id="5" name="图片 4">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1"/>
        <a:stretch>
          <a:fillRect/>
        </a:stretch>
      </xdr:blipFill>
      <xdr:spPr>
        <a:prstGeom prst="rect">
          <a:avLst/>
        </a:prstGeom>
      </xdr:spPr>
    </xdr:pic>
    <xdr:clientData/>
  </xdr:oneCellAnchor>
  <xdr:oneCellAnchor>
    <xdr:from>
      <xdr:col>1</xdr:col>
      <xdr:colOff>876300</xdr:colOff>
      <xdr:row>18</xdr:row>
      <xdr:rowOff>57150</xdr:rowOff>
    </xdr:from>
    <xdr:ext cx="3810000" cy="2409825"/>
    <xdr:pic>
      <xdr:nvPicPr>
        <xdr:cNvPr id="6" name="图片 5">
          <a:extLst>
            <a:ext uri="{FF2B5EF4-FFF2-40B4-BE49-F238E27FC236}">
              <a16:creationId xmlns:a16="http://schemas.microsoft.com/office/drawing/2014/main" id="{00000000-0008-0000-0000-000006000000}"/>
            </a:ext>
          </a:extLst>
        </xdr:cNvPr>
        <xdr:cNvPicPr/>
      </xdr:nvPicPr>
      <xdr:blipFill>
        <a:blip xmlns:r="http://schemas.openxmlformats.org/officeDocument/2006/relationships" r:embed="rId2"/>
        <a:stretch>
          <a:fillRect/>
        </a:stretch>
      </xdr:blipFill>
      <xdr:spPr>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15</xdr:col>
      <xdr:colOff>841490</xdr:colOff>
      <xdr:row>12</xdr:row>
      <xdr:rowOff>0</xdr:rowOff>
    </xdr:from>
    <xdr:ext cx="126770" cy="203200"/>
    <xdr:pic>
      <xdr:nvPicPr>
        <xdr:cNvPr id="11" name="11">
          <a:extLst>
            <a:ext uri="{FF2B5EF4-FFF2-40B4-BE49-F238E27FC236}">
              <a16:creationId xmlns:a16="http://schemas.microsoft.com/office/drawing/2014/main" id="{00000000-0008-0000-1100-00000B000000}"/>
            </a:ext>
          </a:extLst>
        </xdr:cNvPr>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15</xdr:col>
      <xdr:colOff>841876</xdr:colOff>
      <xdr:row>24</xdr:row>
      <xdr:rowOff>0</xdr:rowOff>
    </xdr:from>
    <xdr:ext cx="125998" cy="203200"/>
    <xdr:pic>
      <xdr:nvPicPr>
        <xdr:cNvPr id="12" name="12">
          <a:extLst>
            <a:ext uri="{FF2B5EF4-FFF2-40B4-BE49-F238E27FC236}">
              <a16:creationId xmlns:a16="http://schemas.microsoft.com/office/drawing/2014/main" id="{00000000-0008-0000-1100-00000C000000}"/>
            </a:ext>
          </a:extLst>
        </xdr:cNvPr>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15</xdr:col>
      <xdr:colOff>856409</xdr:colOff>
      <xdr:row>32</xdr:row>
      <xdr:rowOff>0</xdr:rowOff>
    </xdr:from>
    <xdr:ext cx="96932" cy="203200"/>
    <xdr:pic>
      <xdr:nvPicPr>
        <xdr:cNvPr id="13" name="13">
          <a:extLst>
            <a:ext uri="{FF2B5EF4-FFF2-40B4-BE49-F238E27FC236}">
              <a16:creationId xmlns:a16="http://schemas.microsoft.com/office/drawing/2014/main" id="{00000000-0008-0000-1100-00000D000000}"/>
            </a:ext>
          </a:extLst>
        </xdr:cNvPr>
        <xdr:cNvPicPr/>
      </xdr:nvPicPr>
      <xdr:blipFill>
        <a:blip xmlns:r="http://schemas.openxmlformats.org/officeDocument/2006/relationships" r:embed="rId3" r:link="rId3"/>
        <a:stretch>
          <a:fillRect/>
        </a:stretch>
      </xdr:blipFill>
      <xdr:spPr>
        <a:prstGeom prst="rect">
          <a:avLst/>
        </a:prstGeom>
      </xdr:spPr>
    </xdr:pic>
    <xdr:clientData/>
  </xdr:oneCellAnchor>
</xdr:wsDr>
</file>

<file path=xl/drawings/drawing11.xml><?xml version="1.0" encoding="utf-8"?>
<xdr:wsDr xmlns:xdr="http://schemas.openxmlformats.org/drawingml/2006/spreadsheetDrawing" xmlns:a="http://schemas.openxmlformats.org/drawingml/2006/main">
  <xdr:oneCellAnchor>
    <xdr:from>
      <xdr:col>9</xdr:col>
      <xdr:colOff>3110</xdr:colOff>
      <xdr:row>41</xdr:row>
      <xdr:rowOff>173977</xdr:rowOff>
    </xdr:from>
    <xdr:ext cx="6029325" cy="6115050"/>
    <xdr:graphicFrame macro="">
      <xdr:nvGraphicFramePr>
        <xdr:cNvPr id="7" name="图表 6">
          <a:extLst>
            <a:ext uri="{FF2B5EF4-FFF2-40B4-BE49-F238E27FC236}">
              <a16:creationId xmlns:a16="http://schemas.microsoft.com/office/drawing/2014/main" id="{00000000-0008-0000-13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oneCellAnchor>
    <xdr:from>
      <xdr:col>9</xdr:col>
      <xdr:colOff>3110</xdr:colOff>
      <xdr:row>21</xdr:row>
      <xdr:rowOff>17689</xdr:rowOff>
    </xdr:from>
    <xdr:ext cx="6048375" cy="4305300"/>
    <xdr:graphicFrame macro="">
      <xdr:nvGraphicFramePr>
        <xdr:cNvPr id="8" name="图表 7">
          <a:extLst>
            <a:ext uri="{FF2B5EF4-FFF2-40B4-BE49-F238E27FC236}">
              <a16:creationId xmlns:a16="http://schemas.microsoft.com/office/drawing/2014/main" id="{00000000-0008-0000-13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oneCellAnchor>
  <xdr:oneCellAnchor>
    <xdr:from>
      <xdr:col>9</xdr:col>
      <xdr:colOff>12830</xdr:colOff>
      <xdr:row>71</xdr:row>
      <xdr:rowOff>22355</xdr:rowOff>
    </xdr:from>
    <xdr:ext cx="6029325" cy="6143625"/>
    <xdr:graphicFrame macro="">
      <xdr:nvGraphicFramePr>
        <xdr:cNvPr id="9" name="图表 8">
          <a:extLst>
            <a:ext uri="{FF2B5EF4-FFF2-40B4-BE49-F238E27FC236}">
              <a16:creationId xmlns:a16="http://schemas.microsoft.com/office/drawing/2014/main" id="{00000000-0008-0000-13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oneCellAnchor>
  <xdr:oneCellAnchor>
    <xdr:from>
      <xdr:col>8</xdr:col>
      <xdr:colOff>276225</xdr:colOff>
      <xdr:row>0</xdr:row>
      <xdr:rowOff>47625</xdr:rowOff>
    </xdr:from>
    <xdr:ext cx="6010275" cy="4114800"/>
    <xdr:graphicFrame macro="">
      <xdr:nvGraphicFramePr>
        <xdr:cNvPr id="10" name="图表 9">
          <a:extLst>
            <a:ext uri="{FF2B5EF4-FFF2-40B4-BE49-F238E27FC236}">
              <a16:creationId xmlns:a16="http://schemas.microsoft.com/office/drawing/2014/main" id="{00000000-0008-0000-13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oneCellAnchor>
</xdr:wsDr>
</file>

<file path=xl/drawings/drawing2.xml><?xml version="1.0" encoding="utf-8"?>
<xdr:wsDr xmlns:xdr="http://schemas.openxmlformats.org/drawingml/2006/spreadsheetDrawing" xmlns:a="http://schemas.openxmlformats.org/drawingml/2006/main">
  <xdr:oneCellAnchor>
    <xdr:from>
      <xdr:col>2</xdr:col>
      <xdr:colOff>0</xdr:colOff>
      <xdr:row>16</xdr:row>
      <xdr:rowOff>38100</xdr:rowOff>
    </xdr:from>
    <xdr:ext cx="27736800" cy="6638925"/>
    <xdr:graphicFrame macro="">
      <xdr:nvGraphicFramePr>
        <xdr:cNvPr id="3" name="图表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oneCellAnchor>
    <xdr:from>
      <xdr:col>2</xdr:col>
      <xdr:colOff>0</xdr:colOff>
      <xdr:row>61</xdr:row>
      <xdr:rowOff>9525</xdr:rowOff>
    </xdr:from>
    <xdr:ext cx="26174700" cy="7715250"/>
    <xdr:graphicFrame macro="">
      <xdr:nvGraphicFramePr>
        <xdr:cNvPr id="4" name="图表 3">
          <a:extLst>
            <a:ext uri="{FF2B5EF4-FFF2-40B4-BE49-F238E27FC236}">
              <a16:creationId xmlns:a16="http://schemas.microsoft.com/office/drawing/2014/main" id="{00000000-0008-0000-02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oneCellAnchor>
</xdr:wsDr>
</file>

<file path=xl/drawings/drawing3.xml><?xml version="1.0" encoding="utf-8"?>
<xdr:wsDr xmlns:xdr="http://schemas.openxmlformats.org/drawingml/2006/spreadsheetDrawing" xmlns:a="http://schemas.openxmlformats.org/drawingml/2006/main">
  <xdr:oneCellAnchor>
    <xdr:from>
      <xdr:col>12</xdr:col>
      <xdr:colOff>247650</xdr:colOff>
      <xdr:row>19</xdr:row>
      <xdr:rowOff>28575</xdr:rowOff>
    </xdr:from>
    <xdr:ext cx="6572250" cy="5943600"/>
    <xdr:graphicFrame macro="">
      <xdr:nvGraphicFramePr>
        <xdr:cNvPr id="2" name="图表 1">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oneCellAnchor>
    <xdr:from>
      <xdr:col>12</xdr:col>
      <xdr:colOff>266700</xdr:colOff>
      <xdr:row>0</xdr:row>
      <xdr:rowOff>47625</xdr:rowOff>
    </xdr:from>
    <xdr:ext cx="6486525" cy="3676650"/>
    <xdr:graphicFrame macro="">
      <xdr:nvGraphicFramePr>
        <xdr:cNvPr id="3" name="图表 2">
          <a:extLst>
            <a:ext uri="{FF2B5EF4-FFF2-40B4-BE49-F238E27FC236}">
              <a16:creationId xmlns:a16="http://schemas.microsoft.com/office/drawing/2014/main" id="{00000000-0008-0000-03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oneCellAnchor>
</xdr:wsDr>
</file>

<file path=xl/drawings/drawing4.xml><?xml version="1.0" encoding="utf-8"?>
<xdr:wsDr xmlns:xdr="http://schemas.openxmlformats.org/drawingml/2006/spreadsheetDrawing" xmlns:a="http://schemas.openxmlformats.org/drawingml/2006/main">
  <xdr:oneCellAnchor>
    <xdr:from>
      <xdr:col>12</xdr:col>
      <xdr:colOff>0</xdr:colOff>
      <xdr:row>2</xdr:row>
      <xdr:rowOff>0</xdr:rowOff>
    </xdr:from>
    <xdr:ext cx="238278" cy="203200"/>
    <xdr:pic>
      <xdr:nvPicPr>
        <xdr:cNvPr id="144" name="144">
          <a:extLst>
            <a:ext uri="{FF2B5EF4-FFF2-40B4-BE49-F238E27FC236}">
              <a16:creationId xmlns:a16="http://schemas.microsoft.com/office/drawing/2014/main" id="{00000000-0008-0000-0700-000090000000}"/>
            </a:ext>
          </a:extLst>
        </xdr:cNvPr>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12</xdr:col>
      <xdr:colOff>0</xdr:colOff>
      <xdr:row>3</xdr:row>
      <xdr:rowOff>0</xdr:rowOff>
    </xdr:from>
    <xdr:ext cx="378804" cy="203200"/>
    <xdr:pic>
      <xdr:nvPicPr>
        <xdr:cNvPr id="145" name="145">
          <a:extLst>
            <a:ext uri="{FF2B5EF4-FFF2-40B4-BE49-F238E27FC236}">
              <a16:creationId xmlns:a16="http://schemas.microsoft.com/office/drawing/2014/main" id="{00000000-0008-0000-0700-000091000000}"/>
            </a:ext>
          </a:extLst>
        </xdr:cNvPr>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12</xdr:col>
      <xdr:colOff>0</xdr:colOff>
      <xdr:row>4</xdr:row>
      <xdr:rowOff>0</xdr:rowOff>
    </xdr:from>
    <xdr:ext cx="530878" cy="203200"/>
    <xdr:pic>
      <xdr:nvPicPr>
        <xdr:cNvPr id="146" name="146">
          <a:extLst>
            <a:ext uri="{FF2B5EF4-FFF2-40B4-BE49-F238E27FC236}">
              <a16:creationId xmlns:a16="http://schemas.microsoft.com/office/drawing/2014/main" id="{00000000-0008-0000-0700-000092000000}"/>
            </a:ext>
          </a:extLst>
        </xdr:cNvPr>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12</xdr:col>
      <xdr:colOff>0</xdr:colOff>
      <xdr:row>5</xdr:row>
      <xdr:rowOff>0</xdr:rowOff>
    </xdr:from>
    <xdr:ext cx="361192" cy="203200"/>
    <xdr:pic>
      <xdr:nvPicPr>
        <xdr:cNvPr id="147" name="147">
          <a:extLst>
            <a:ext uri="{FF2B5EF4-FFF2-40B4-BE49-F238E27FC236}">
              <a16:creationId xmlns:a16="http://schemas.microsoft.com/office/drawing/2014/main" id="{00000000-0008-0000-0700-000093000000}"/>
            </a:ext>
          </a:extLst>
        </xdr:cNvPr>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12</xdr:col>
      <xdr:colOff>0</xdr:colOff>
      <xdr:row>6</xdr:row>
      <xdr:rowOff>0</xdr:rowOff>
    </xdr:from>
    <xdr:ext cx="361244" cy="203200"/>
    <xdr:pic>
      <xdr:nvPicPr>
        <xdr:cNvPr id="148" name="148">
          <a:extLst>
            <a:ext uri="{FF2B5EF4-FFF2-40B4-BE49-F238E27FC236}">
              <a16:creationId xmlns:a16="http://schemas.microsoft.com/office/drawing/2014/main" id="{00000000-0008-0000-0700-000094000000}"/>
            </a:ext>
          </a:extLst>
        </xdr:cNvPr>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12</xdr:col>
      <xdr:colOff>0</xdr:colOff>
      <xdr:row>7</xdr:row>
      <xdr:rowOff>0</xdr:rowOff>
    </xdr:from>
    <xdr:ext cx="444153" cy="203200"/>
    <xdr:pic>
      <xdr:nvPicPr>
        <xdr:cNvPr id="149" name="149">
          <a:extLst>
            <a:ext uri="{FF2B5EF4-FFF2-40B4-BE49-F238E27FC236}">
              <a16:creationId xmlns:a16="http://schemas.microsoft.com/office/drawing/2014/main" id="{00000000-0008-0000-0700-000095000000}"/>
            </a:ext>
          </a:extLst>
        </xdr:cNvPr>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12</xdr:col>
      <xdr:colOff>0</xdr:colOff>
      <xdr:row>16</xdr:row>
      <xdr:rowOff>0</xdr:rowOff>
    </xdr:from>
    <xdr:ext cx="340247" cy="203200"/>
    <xdr:pic>
      <xdr:nvPicPr>
        <xdr:cNvPr id="150" name="150">
          <a:extLst>
            <a:ext uri="{FF2B5EF4-FFF2-40B4-BE49-F238E27FC236}">
              <a16:creationId xmlns:a16="http://schemas.microsoft.com/office/drawing/2014/main" id="{00000000-0008-0000-0700-000096000000}"/>
            </a:ext>
          </a:extLst>
        </xdr:cNvPr>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12</xdr:col>
      <xdr:colOff>0</xdr:colOff>
      <xdr:row>17</xdr:row>
      <xdr:rowOff>0</xdr:rowOff>
    </xdr:from>
    <xdr:ext cx="270933" cy="203200"/>
    <xdr:pic>
      <xdr:nvPicPr>
        <xdr:cNvPr id="151" name="151">
          <a:extLst>
            <a:ext uri="{FF2B5EF4-FFF2-40B4-BE49-F238E27FC236}">
              <a16:creationId xmlns:a16="http://schemas.microsoft.com/office/drawing/2014/main" id="{00000000-0008-0000-0700-000097000000}"/>
            </a:ext>
          </a:extLst>
        </xdr:cNvPr>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12</xdr:col>
      <xdr:colOff>0</xdr:colOff>
      <xdr:row>18</xdr:row>
      <xdr:rowOff>95738</xdr:rowOff>
    </xdr:from>
    <xdr:ext cx="1800225" cy="589573"/>
    <xdr:pic>
      <xdr:nvPicPr>
        <xdr:cNvPr id="152" name="152">
          <a:extLst>
            <a:ext uri="{FF2B5EF4-FFF2-40B4-BE49-F238E27FC236}">
              <a16:creationId xmlns:a16="http://schemas.microsoft.com/office/drawing/2014/main" id="{00000000-0008-0000-0700-000098000000}"/>
            </a:ext>
          </a:extLst>
        </xdr:cNvPr>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12</xdr:col>
      <xdr:colOff>0</xdr:colOff>
      <xdr:row>19</xdr:row>
      <xdr:rowOff>0</xdr:rowOff>
    </xdr:from>
    <xdr:ext cx="349826" cy="203200"/>
    <xdr:pic>
      <xdr:nvPicPr>
        <xdr:cNvPr id="153" name="153">
          <a:extLst>
            <a:ext uri="{FF2B5EF4-FFF2-40B4-BE49-F238E27FC236}">
              <a16:creationId xmlns:a16="http://schemas.microsoft.com/office/drawing/2014/main" id="{00000000-0008-0000-0700-000099000000}"/>
            </a:ext>
          </a:extLst>
        </xdr:cNvPr>
        <xdr:cNvPicPr/>
      </xdr:nvPicPr>
      <xdr:blipFill>
        <a:blip xmlns:r="http://schemas.openxmlformats.org/officeDocument/2006/relationships" r:embed="rId10" r:link="rId10"/>
        <a:stretch>
          <a:fillRect/>
        </a:stretch>
      </xdr:blipFill>
      <xdr:spPr>
        <a:prstGeom prst="rect">
          <a:avLst/>
        </a:prstGeom>
      </xdr:spPr>
    </xdr:pic>
    <xdr:clientData/>
  </xdr:oneCellAnchor>
  <xdr:oneCellAnchor>
    <xdr:from>
      <xdr:col>12</xdr:col>
      <xdr:colOff>0</xdr:colOff>
      <xdr:row>20</xdr:row>
      <xdr:rowOff>0</xdr:rowOff>
    </xdr:from>
    <xdr:ext cx="269139" cy="203200"/>
    <xdr:pic>
      <xdr:nvPicPr>
        <xdr:cNvPr id="154" name="154">
          <a:extLst>
            <a:ext uri="{FF2B5EF4-FFF2-40B4-BE49-F238E27FC236}">
              <a16:creationId xmlns:a16="http://schemas.microsoft.com/office/drawing/2014/main" id="{00000000-0008-0000-0700-00009A000000}"/>
            </a:ext>
          </a:extLst>
        </xdr:cNvPr>
        <xdr:cNvPicPr/>
      </xdr:nvPicPr>
      <xdr:blipFill>
        <a:blip xmlns:r="http://schemas.openxmlformats.org/officeDocument/2006/relationships" r:embed="rId11" r:link="rId11"/>
        <a:stretch>
          <a:fillRect/>
        </a:stretch>
      </xdr:blipFill>
      <xdr:spPr>
        <a:prstGeom prst="rect">
          <a:avLst/>
        </a:prstGeom>
      </xdr:spPr>
    </xdr:pic>
    <xdr:clientData/>
  </xdr:oneCellAnchor>
  <xdr:oneCellAnchor>
    <xdr:from>
      <xdr:col>13</xdr:col>
      <xdr:colOff>0</xdr:colOff>
      <xdr:row>26</xdr:row>
      <xdr:rowOff>0</xdr:rowOff>
    </xdr:from>
    <xdr:ext cx="349411" cy="203200"/>
    <xdr:pic>
      <xdr:nvPicPr>
        <xdr:cNvPr id="155" name="155">
          <a:extLst>
            <a:ext uri="{FF2B5EF4-FFF2-40B4-BE49-F238E27FC236}">
              <a16:creationId xmlns:a16="http://schemas.microsoft.com/office/drawing/2014/main" id="{00000000-0008-0000-0700-00009B000000}"/>
            </a:ext>
          </a:extLst>
        </xdr:cNvPr>
        <xdr:cNvPicPr/>
      </xdr:nvPicPr>
      <xdr:blipFill>
        <a:blip xmlns:r="http://schemas.openxmlformats.org/officeDocument/2006/relationships" r:embed="rId12" r:link="rId12"/>
        <a:stretch>
          <a:fillRect/>
        </a:stretch>
      </xdr:blipFill>
      <xdr:spPr>
        <a:prstGeom prst="rect">
          <a:avLst/>
        </a:prstGeom>
      </xdr:spPr>
    </xdr:pic>
    <xdr:clientData/>
  </xdr:oneCellAnchor>
  <xdr:oneCellAnchor>
    <xdr:from>
      <xdr:col>12</xdr:col>
      <xdr:colOff>0</xdr:colOff>
      <xdr:row>30</xdr:row>
      <xdr:rowOff>0</xdr:rowOff>
    </xdr:from>
    <xdr:ext cx="351127" cy="203200"/>
    <xdr:pic>
      <xdr:nvPicPr>
        <xdr:cNvPr id="156" name="156">
          <a:extLst>
            <a:ext uri="{FF2B5EF4-FFF2-40B4-BE49-F238E27FC236}">
              <a16:creationId xmlns:a16="http://schemas.microsoft.com/office/drawing/2014/main" id="{00000000-0008-0000-0700-00009C000000}"/>
            </a:ext>
          </a:extLst>
        </xdr:cNvPr>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12</xdr:col>
      <xdr:colOff>0</xdr:colOff>
      <xdr:row>31</xdr:row>
      <xdr:rowOff>0</xdr:rowOff>
    </xdr:from>
    <xdr:ext cx="351127" cy="203200"/>
    <xdr:pic>
      <xdr:nvPicPr>
        <xdr:cNvPr id="157" name="157">
          <a:extLst>
            <a:ext uri="{FF2B5EF4-FFF2-40B4-BE49-F238E27FC236}">
              <a16:creationId xmlns:a16="http://schemas.microsoft.com/office/drawing/2014/main" id="{00000000-0008-0000-0700-00009D000000}"/>
            </a:ext>
          </a:extLst>
        </xdr:cNvPr>
        <xdr:cNvPicPr/>
      </xdr:nvPicPr>
      <xdr:blipFill>
        <a:blip xmlns:r="http://schemas.openxmlformats.org/officeDocument/2006/relationships" r:embed="rId14" r:link="rId14"/>
        <a:stretch>
          <a:fillRect/>
        </a:stretch>
      </xdr:blipFill>
      <xdr:spPr>
        <a:prstGeom prst="rect">
          <a:avLst/>
        </a:prstGeom>
      </xdr:spPr>
    </xdr:pic>
    <xdr:clientData/>
  </xdr:oneCellAnchor>
  <xdr:oneCellAnchor>
    <xdr:from>
      <xdr:col>12</xdr:col>
      <xdr:colOff>0</xdr:colOff>
      <xdr:row>32</xdr:row>
      <xdr:rowOff>0</xdr:rowOff>
    </xdr:from>
    <xdr:ext cx="401162" cy="203200"/>
    <xdr:pic>
      <xdr:nvPicPr>
        <xdr:cNvPr id="158" name="158">
          <a:extLst>
            <a:ext uri="{FF2B5EF4-FFF2-40B4-BE49-F238E27FC236}">
              <a16:creationId xmlns:a16="http://schemas.microsoft.com/office/drawing/2014/main" id="{00000000-0008-0000-0700-00009E000000}"/>
            </a:ext>
          </a:extLst>
        </xdr:cNvPr>
        <xdr:cNvPicPr/>
      </xdr:nvPicPr>
      <xdr:blipFill>
        <a:blip xmlns:r="http://schemas.openxmlformats.org/officeDocument/2006/relationships" r:embed="rId15" r:link="rId15"/>
        <a:stretch>
          <a:fillRect/>
        </a:stretch>
      </xdr:blipFill>
      <xdr:spPr>
        <a:prstGeom prst="rect">
          <a:avLst/>
        </a:prstGeom>
      </xdr:spPr>
    </xdr:pic>
    <xdr:clientData/>
  </xdr:oneCellAnchor>
  <xdr:oneCellAnchor>
    <xdr:from>
      <xdr:col>12</xdr:col>
      <xdr:colOff>0</xdr:colOff>
      <xdr:row>34</xdr:row>
      <xdr:rowOff>0</xdr:rowOff>
    </xdr:from>
    <xdr:ext cx="351127" cy="203200"/>
    <xdr:pic>
      <xdr:nvPicPr>
        <xdr:cNvPr id="159" name="159">
          <a:extLst>
            <a:ext uri="{FF2B5EF4-FFF2-40B4-BE49-F238E27FC236}">
              <a16:creationId xmlns:a16="http://schemas.microsoft.com/office/drawing/2014/main" id="{00000000-0008-0000-0700-00009F000000}"/>
            </a:ext>
          </a:extLst>
        </xdr:cNvPr>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13</xdr:col>
      <xdr:colOff>0</xdr:colOff>
      <xdr:row>37</xdr:row>
      <xdr:rowOff>0</xdr:rowOff>
    </xdr:from>
    <xdr:ext cx="190512" cy="203200"/>
    <xdr:pic>
      <xdr:nvPicPr>
        <xdr:cNvPr id="160" name="160">
          <a:extLst>
            <a:ext uri="{FF2B5EF4-FFF2-40B4-BE49-F238E27FC236}">
              <a16:creationId xmlns:a16="http://schemas.microsoft.com/office/drawing/2014/main" id="{00000000-0008-0000-0700-0000A0000000}"/>
            </a:ext>
          </a:extLst>
        </xdr:cNvPr>
        <xdr:cNvPicPr/>
      </xdr:nvPicPr>
      <xdr:blipFill>
        <a:blip xmlns:r="http://schemas.openxmlformats.org/officeDocument/2006/relationships" r:embed="rId16" r:link="rId16"/>
        <a:stretch>
          <a:fillRect/>
        </a:stretch>
      </xdr:blipFill>
      <xdr:spPr>
        <a:prstGeom prst="rect">
          <a:avLst/>
        </a:prstGeom>
      </xdr:spPr>
    </xdr:pic>
    <xdr:clientData/>
  </xdr:oneCellAnchor>
  <xdr:oneCellAnchor>
    <xdr:from>
      <xdr:col>14</xdr:col>
      <xdr:colOff>101717</xdr:colOff>
      <xdr:row>37</xdr:row>
      <xdr:rowOff>0</xdr:rowOff>
    </xdr:from>
    <xdr:ext cx="377590" cy="203200"/>
    <xdr:pic>
      <xdr:nvPicPr>
        <xdr:cNvPr id="161" name="161">
          <a:extLst>
            <a:ext uri="{FF2B5EF4-FFF2-40B4-BE49-F238E27FC236}">
              <a16:creationId xmlns:a16="http://schemas.microsoft.com/office/drawing/2014/main" id="{00000000-0008-0000-0700-0000A1000000}"/>
            </a:ext>
          </a:extLst>
        </xdr:cNvPr>
        <xdr:cNvPicPr/>
      </xdr:nvPicPr>
      <xdr:blipFill>
        <a:blip xmlns:r="http://schemas.openxmlformats.org/officeDocument/2006/relationships" r:embed="rId17" r:link="rId17"/>
        <a:stretch>
          <a:fillRect/>
        </a:stretch>
      </xdr:blipFill>
      <xdr:spPr>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13</xdr:col>
      <xdr:colOff>285750</xdr:colOff>
      <xdr:row>8</xdr:row>
      <xdr:rowOff>257175</xdr:rowOff>
    </xdr:from>
    <xdr:ext cx="3162300" cy="981075"/>
    <xdr:pic>
      <xdr:nvPicPr>
        <xdr:cNvPr id="142" name="图片 141">
          <a:extLst>
            <a:ext uri="{FF2B5EF4-FFF2-40B4-BE49-F238E27FC236}">
              <a16:creationId xmlns:a16="http://schemas.microsoft.com/office/drawing/2014/main" id="{00000000-0008-0000-0800-00008E000000}"/>
            </a:ext>
          </a:extLst>
        </xdr:cNvPr>
        <xdr:cNvPicPr/>
      </xdr:nvPicPr>
      <xdr:blipFill>
        <a:blip xmlns:r="http://schemas.openxmlformats.org/officeDocument/2006/relationships" r:embed="rId1"/>
        <a:stretch>
          <a:fillRect/>
        </a:stretch>
      </xdr:blipFill>
      <xdr:spPr>
        <a:prstGeom prst="rect">
          <a:avLst/>
        </a:prstGeom>
      </xdr:spPr>
    </xdr:pic>
    <xdr:clientData/>
  </xdr:oneCellAnchor>
  <xdr:oneCellAnchor>
    <xdr:from>
      <xdr:col>13</xdr:col>
      <xdr:colOff>107122</xdr:colOff>
      <xdr:row>2</xdr:row>
      <xdr:rowOff>0</xdr:rowOff>
    </xdr:from>
    <xdr:ext cx="1766956" cy="203200"/>
    <xdr:pic>
      <xdr:nvPicPr>
        <xdr:cNvPr id="143" name="143">
          <a:extLst>
            <a:ext uri="{FF2B5EF4-FFF2-40B4-BE49-F238E27FC236}">
              <a16:creationId xmlns:a16="http://schemas.microsoft.com/office/drawing/2014/main" id="{00000000-0008-0000-0800-00008F000000}"/>
            </a:ext>
          </a:extLst>
        </xdr:cNvPr>
        <xdr:cNvPicPr/>
      </xdr:nvPicPr>
      <xdr:blipFill>
        <a:blip xmlns:r="http://schemas.openxmlformats.org/officeDocument/2006/relationships" r:embed="rId2" r:link="rId2"/>
        <a:stretch>
          <a:fillRect/>
        </a:stretch>
      </xdr:blipFill>
      <xdr:spPr>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oneCellAnchor>
    <xdr:from>
      <xdr:col>14</xdr:col>
      <xdr:colOff>0</xdr:colOff>
      <xdr:row>9</xdr:row>
      <xdr:rowOff>0</xdr:rowOff>
    </xdr:from>
    <xdr:ext cx="296461" cy="203200"/>
    <xdr:pic>
      <xdr:nvPicPr>
        <xdr:cNvPr id="139" name="139">
          <a:extLst>
            <a:ext uri="{FF2B5EF4-FFF2-40B4-BE49-F238E27FC236}">
              <a16:creationId xmlns:a16="http://schemas.microsoft.com/office/drawing/2014/main" id="{00000000-0008-0000-0900-00008B000000}"/>
            </a:ext>
          </a:extLst>
        </xdr:cNvPr>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14</xdr:col>
      <xdr:colOff>0</xdr:colOff>
      <xdr:row>31</xdr:row>
      <xdr:rowOff>0</xdr:rowOff>
    </xdr:from>
    <xdr:ext cx="368621" cy="203200"/>
    <xdr:pic>
      <xdr:nvPicPr>
        <xdr:cNvPr id="140" name="140">
          <a:extLst>
            <a:ext uri="{FF2B5EF4-FFF2-40B4-BE49-F238E27FC236}">
              <a16:creationId xmlns:a16="http://schemas.microsoft.com/office/drawing/2014/main" id="{00000000-0008-0000-0900-00008C000000}"/>
            </a:ext>
          </a:extLst>
        </xdr:cNvPr>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14</xdr:col>
      <xdr:colOff>0</xdr:colOff>
      <xdr:row>32</xdr:row>
      <xdr:rowOff>0</xdr:rowOff>
    </xdr:from>
    <xdr:ext cx="157988" cy="203200"/>
    <xdr:pic>
      <xdr:nvPicPr>
        <xdr:cNvPr id="141" name="141">
          <a:extLst>
            <a:ext uri="{FF2B5EF4-FFF2-40B4-BE49-F238E27FC236}">
              <a16:creationId xmlns:a16="http://schemas.microsoft.com/office/drawing/2014/main" id="{00000000-0008-0000-0900-00008D000000}"/>
            </a:ext>
          </a:extLst>
        </xdr:cNvPr>
        <xdr:cNvPicPr/>
      </xdr:nvPicPr>
      <xdr:blipFill>
        <a:blip xmlns:r="http://schemas.openxmlformats.org/officeDocument/2006/relationships" r:embed="rId3" r:link="rId3"/>
        <a:stretch>
          <a:fillRect/>
        </a:stretch>
      </xdr:blipFill>
      <xdr:spPr>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oneCellAnchor>
    <xdr:from>
      <xdr:col>20</xdr:col>
      <xdr:colOff>723446</xdr:colOff>
      <xdr:row>24</xdr:row>
      <xdr:rowOff>0</xdr:rowOff>
    </xdr:from>
    <xdr:ext cx="362857" cy="203200"/>
    <xdr:pic>
      <xdr:nvPicPr>
        <xdr:cNvPr id="128" name="128">
          <a:extLst>
            <a:ext uri="{FF2B5EF4-FFF2-40B4-BE49-F238E27FC236}">
              <a16:creationId xmlns:a16="http://schemas.microsoft.com/office/drawing/2014/main" id="{00000000-0008-0000-0A00-000080000000}"/>
            </a:ext>
          </a:extLst>
        </xdr:cNvPr>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20</xdr:col>
      <xdr:colOff>732716</xdr:colOff>
      <xdr:row>213</xdr:row>
      <xdr:rowOff>0</xdr:rowOff>
    </xdr:from>
    <xdr:ext cx="344317" cy="203200"/>
    <xdr:pic>
      <xdr:nvPicPr>
        <xdr:cNvPr id="129" name="129">
          <a:extLst>
            <a:ext uri="{FF2B5EF4-FFF2-40B4-BE49-F238E27FC236}">
              <a16:creationId xmlns:a16="http://schemas.microsoft.com/office/drawing/2014/main" id="{00000000-0008-0000-0A00-000081000000}"/>
            </a:ext>
          </a:extLst>
        </xdr:cNvPr>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20</xdr:col>
      <xdr:colOff>732716</xdr:colOff>
      <xdr:row>216</xdr:row>
      <xdr:rowOff>0</xdr:rowOff>
    </xdr:from>
    <xdr:ext cx="344317" cy="203200"/>
    <xdr:pic>
      <xdr:nvPicPr>
        <xdr:cNvPr id="130" name="130">
          <a:extLst>
            <a:ext uri="{FF2B5EF4-FFF2-40B4-BE49-F238E27FC236}">
              <a16:creationId xmlns:a16="http://schemas.microsoft.com/office/drawing/2014/main" id="{00000000-0008-0000-0A00-000082000000}"/>
            </a:ext>
          </a:extLst>
        </xdr:cNvPr>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20</xdr:col>
      <xdr:colOff>732716</xdr:colOff>
      <xdr:row>217</xdr:row>
      <xdr:rowOff>0</xdr:rowOff>
    </xdr:from>
    <xdr:ext cx="344317" cy="203200"/>
    <xdr:pic>
      <xdr:nvPicPr>
        <xdr:cNvPr id="131" name="131">
          <a:extLst>
            <a:ext uri="{FF2B5EF4-FFF2-40B4-BE49-F238E27FC236}">
              <a16:creationId xmlns:a16="http://schemas.microsoft.com/office/drawing/2014/main" id="{00000000-0008-0000-0A00-000083000000}"/>
            </a:ext>
          </a:extLst>
        </xdr:cNvPr>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20</xdr:col>
      <xdr:colOff>732716</xdr:colOff>
      <xdr:row>219</xdr:row>
      <xdr:rowOff>0</xdr:rowOff>
    </xdr:from>
    <xdr:ext cx="344317" cy="203200"/>
    <xdr:pic>
      <xdr:nvPicPr>
        <xdr:cNvPr id="132" name="132">
          <a:extLst>
            <a:ext uri="{FF2B5EF4-FFF2-40B4-BE49-F238E27FC236}">
              <a16:creationId xmlns:a16="http://schemas.microsoft.com/office/drawing/2014/main" id="{00000000-0008-0000-0A00-000084000000}"/>
            </a:ext>
          </a:extLst>
        </xdr:cNvPr>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20</xdr:col>
      <xdr:colOff>732716</xdr:colOff>
      <xdr:row>220</xdr:row>
      <xdr:rowOff>0</xdr:rowOff>
    </xdr:from>
    <xdr:ext cx="344317" cy="203200"/>
    <xdr:pic>
      <xdr:nvPicPr>
        <xdr:cNvPr id="133" name="133">
          <a:extLst>
            <a:ext uri="{FF2B5EF4-FFF2-40B4-BE49-F238E27FC236}">
              <a16:creationId xmlns:a16="http://schemas.microsoft.com/office/drawing/2014/main" id="{00000000-0008-0000-0A00-000085000000}"/>
            </a:ext>
          </a:extLst>
        </xdr:cNvPr>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20</xdr:col>
      <xdr:colOff>732716</xdr:colOff>
      <xdr:row>221</xdr:row>
      <xdr:rowOff>0</xdr:rowOff>
    </xdr:from>
    <xdr:ext cx="344317" cy="203200"/>
    <xdr:pic>
      <xdr:nvPicPr>
        <xdr:cNvPr id="134" name="134">
          <a:extLst>
            <a:ext uri="{FF2B5EF4-FFF2-40B4-BE49-F238E27FC236}">
              <a16:creationId xmlns:a16="http://schemas.microsoft.com/office/drawing/2014/main" id="{00000000-0008-0000-0A00-000086000000}"/>
            </a:ext>
          </a:extLst>
        </xdr:cNvPr>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20</xdr:col>
      <xdr:colOff>732716</xdr:colOff>
      <xdr:row>222</xdr:row>
      <xdr:rowOff>0</xdr:rowOff>
    </xdr:from>
    <xdr:ext cx="344317" cy="203200"/>
    <xdr:pic>
      <xdr:nvPicPr>
        <xdr:cNvPr id="135" name="135">
          <a:extLst>
            <a:ext uri="{FF2B5EF4-FFF2-40B4-BE49-F238E27FC236}">
              <a16:creationId xmlns:a16="http://schemas.microsoft.com/office/drawing/2014/main" id="{00000000-0008-0000-0A00-000087000000}"/>
            </a:ext>
          </a:extLst>
        </xdr:cNvPr>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20</xdr:col>
      <xdr:colOff>732716</xdr:colOff>
      <xdr:row>223</xdr:row>
      <xdr:rowOff>0</xdr:rowOff>
    </xdr:from>
    <xdr:ext cx="344317" cy="203200"/>
    <xdr:pic>
      <xdr:nvPicPr>
        <xdr:cNvPr id="136" name="136">
          <a:extLst>
            <a:ext uri="{FF2B5EF4-FFF2-40B4-BE49-F238E27FC236}">
              <a16:creationId xmlns:a16="http://schemas.microsoft.com/office/drawing/2014/main" id="{00000000-0008-0000-0A00-000088000000}"/>
            </a:ext>
          </a:extLst>
        </xdr:cNvPr>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20</xdr:col>
      <xdr:colOff>732716</xdr:colOff>
      <xdr:row>224</xdr:row>
      <xdr:rowOff>0</xdr:rowOff>
    </xdr:from>
    <xdr:ext cx="344317" cy="203200"/>
    <xdr:pic>
      <xdr:nvPicPr>
        <xdr:cNvPr id="137" name="137">
          <a:extLst>
            <a:ext uri="{FF2B5EF4-FFF2-40B4-BE49-F238E27FC236}">
              <a16:creationId xmlns:a16="http://schemas.microsoft.com/office/drawing/2014/main" id="{00000000-0008-0000-0A00-000089000000}"/>
            </a:ext>
          </a:extLst>
        </xdr:cNvPr>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20</xdr:col>
      <xdr:colOff>451904</xdr:colOff>
      <xdr:row>226</xdr:row>
      <xdr:rowOff>0</xdr:rowOff>
    </xdr:from>
    <xdr:ext cx="905941" cy="923925"/>
    <xdr:pic>
      <xdr:nvPicPr>
        <xdr:cNvPr id="138" name="138">
          <a:extLst>
            <a:ext uri="{FF2B5EF4-FFF2-40B4-BE49-F238E27FC236}">
              <a16:creationId xmlns:a16="http://schemas.microsoft.com/office/drawing/2014/main" id="{00000000-0008-0000-0A00-00008A000000}"/>
            </a:ext>
          </a:extLst>
        </xdr:cNvPr>
        <xdr:cNvPicPr/>
      </xdr:nvPicPr>
      <xdr:blipFill>
        <a:blip xmlns:r="http://schemas.openxmlformats.org/officeDocument/2006/relationships" r:embed="rId9" r:link="rId9"/>
        <a:stretch>
          <a:fillRect/>
        </a:stretch>
      </xdr:blipFill>
      <xdr:spPr>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oneCellAnchor>
    <xdr:from>
      <xdr:col>11</xdr:col>
      <xdr:colOff>0</xdr:colOff>
      <xdr:row>76</xdr:row>
      <xdr:rowOff>0</xdr:rowOff>
    </xdr:from>
    <xdr:ext cx="327741" cy="203200"/>
    <xdr:pic>
      <xdr:nvPicPr>
        <xdr:cNvPr id="63" name="63">
          <a:extLst>
            <a:ext uri="{FF2B5EF4-FFF2-40B4-BE49-F238E27FC236}">
              <a16:creationId xmlns:a16="http://schemas.microsoft.com/office/drawing/2014/main" id="{00000000-0008-0000-0D00-00003F000000}"/>
            </a:ext>
          </a:extLst>
        </xdr:cNvPr>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11</xdr:col>
      <xdr:colOff>0</xdr:colOff>
      <xdr:row>77</xdr:row>
      <xdr:rowOff>0</xdr:rowOff>
    </xdr:from>
    <xdr:ext cx="285192" cy="203200"/>
    <xdr:pic>
      <xdr:nvPicPr>
        <xdr:cNvPr id="64" name="64">
          <a:extLst>
            <a:ext uri="{FF2B5EF4-FFF2-40B4-BE49-F238E27FC236}">
              <a16:creationId xmlns:a16="http://schemas.microsoft.com/office/drawing/2014/main" id="{00000000-0008-0000-0D00-000040000000}"/>
            </a:ext>
          </a:extLst>
        </xdr:cNvPr>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11</xdr:col>
      <xdr:colOff>0</xdr:colOff>
      <xdr:row>78</xdr:row>
      <xdr:rowOff>0</xdr:rowOff>
    </xdr:from>
    <xdr:ext cx="331755" cy="203200"/>
    <xdr:pic>
      <xdr:nvPicPr>
        <xdr:cNvPr id="65" name="65">
          <a:extLst>
            <a:ext uri="{FF2B5EF4-FFF2-40B4-BE49-F238E27FC236}">
              <a16:creationId xmlns:a16="http://schemas.microsoft.com/office/drawing/2014/main" id="{00000000-0008-0000-0D00-000041000000}"/>
            </a:ext>
          </a:extLst>
        </xdr:cNvPr>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11</xdr:col>
      <xdr:colOff>0</xdr:colOff>
      <xdr:row>80</xdr:row>
      <xdr:rowOff>0</xdr:rowOff>
    </xdr:from>
    <xdr:ext cx="345872" cy="203200"/>
    <xdr:pic>
      <xdr:nvPicPr>
        <xdr:cNvPr id="66" name="66">
          <a:extLst>
            <a:ext uri="{FF2B5EF4-FFF2-40B4-BE49-F238E27FC236}">
              <a16:creationId xmlns:a16="http://schemas.microsoft.com/office/drawing/2014/main" id="{00000000-0008-0000-0D00-000042000000}"/>
            </a:ext>
          </a:extLst>
        </xdr:cNvPr>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11</xdr:col>
      <xdr:colOff>0</xdr:colOff>
      <xdr:row>82</xdr:row>
      <xdr:rowOff>0</xdr:rowOff>
    </xdr:from>
    <xdr:ext cx="298823" cy="203200"/>
    <xdr:pic>
      <xdr:nvPicPr>
        <xdr:cNvPr id="67" name="67">
          <a:extLst>
            <a:ext uri="{FF2B5EF4-FFF2-40B4-BE49-F238E27FC236}">
              <a16:creationId xmlns:a16="http://schemas.microsoft.com/office/drawing/2014/main" id="{00000000-0008-0000-0D00-000043000000}"/>
            </a:ext>
          </a:extLst>
        </xdr:cNvPr>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11</xdr:col>
      <xdr:colOff>0</xdr:colOff>
      <xdr:row>82</xdr:row>
      <xdr:rowOff>0</xdr:rowOff>
    </xdr:from>
    <xdr:ext cx="156972" cy="203200"/>
    <xdr:pic>
      <xdr:nvPicPr>
        <xdr:cNvPr id="68" name="68">
          <a:extLst>
            <a:ext uri="{FF2B5EF4-FFF2-40B4-BE49-F238E27FC236}">
              <a16:creationId xmlns:a16="http://schemas.microsoft.com/office/drawing/2014/main" id="{00000000-0008-0000-0D00-000044000000}"/>
            </a:ext>
          </a:extLst>
        </xdr:cNvPr>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11</xdr:col>
      <xdr:colOff>0</xdr:colOff>
      <xdr:row>84</xdr:row>
      <xdr:rowOff>0</xdr:rowOff>
    </xdr:from>
    <xdr:ext cx="351861" cy="203200"/>
    <xdr:pic>
      <xdr:nvPicPr>
        <xdr:cNvPr id="69" name="69">
          <a:extLst>
            <a:ext uri="{FF2B5EF4-FFF2-40B4-BE49-F238E27FC236}">
              <a16:creationId xmlns:a16="http://schemas.microsoft.com/office/drawing/2014/main" id="{00000000-0008-0000-0D00-000045000000}"/>
            </a:ext>
          </a:extLst>
        </xdr:cNvPr>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11</xdr:col>
      <xdr:colOff>0</xdr:colOff>
      <xdr:row>86</xdr:row>
      <xdr:rowOff>0</xdr:rowOff>
    </xdr:from>
    <xdr:ext cx="185928" cy="203200"/>
    <xdr:pic>
      <xdr:nvPicPr>
        <xdr:cNvPr id="70" name="70">
          <a:extLst>
            <a:ext uri="{FF2B5EF4-FFF2-40B4-BE49-F238E27FC236}">
              <a16:creationId xmlns:a16="http://schemas.microsoft.com/office/drawing/2014/main" id="{00000000-0008-0000-0D00-000046000000}"/>
            </a:ext>
          </a:extLst>
        </xdr:cNvPr>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11</xdr:col>
      <xdr:colOff>0</xdr:colOff>
      <xdr:row>88</xdr:row>
      <xdr:rowOff>0</xdr:rowOff>
    </xdr:from>
    <xdr:ext cx="556712" cy="203200"/>
    <xdr:pic>
      <xdr:nvPicPr>
        <xdr:cNvPr id="71" name="71">
          <a:extLst>
            <a:ext uri="{FF2B5EF4-FFF2-40B4-BE49-F238E27FC236}">
              <a16:creationId xmlns:a16="http://schemas.microsoft.com/office/drawing/2014/main" id="{00000000-0008-0000-0D00-000047000000}"/>
            </a:ext>
          </a:extLst>
        </xdr:cNvPr>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11</xdr:col>
      <xdr:colOff>0</xdr:colOff>
      <xdr:row>89</xdr:row>
      <xdr:rowOff>0</xdr:rowOff>
    </xdr:from>
    <xdr:ext cx="552925" cy="203200"/>
    <xdr:pic>
      <xdr:nvPicPr>
        <xdr:cNvPr id="72" name="72">
          <a:extLst>
            <a:ext uri="{FF2B5EF4-FFF2-40B4-BE49-F238E27FC236}">
              <a16:creationId xmlns:a16="http://schemas.microsoft.com/office/drawing/2014/main" id="{00000000-0008-0000-0D00-000048000000}"/>
            </a:ext>
          </a:extLst>
        </xdr:cNvPr>
        <xdr:cNvPicPr/>
      </xdr:nvPicPr>
      <xdr:blipFill>
        <a:blip xmlns:r="http://schemas.openxmlformats.org/officeDocument/2006/relationships" r:embed="rId10" r:link="rId10"/>
        <a:stretch>
          <a:fillRect/>
        </a:stretch>
      </xdr:blipFill>
      <xdr:spPr>
        <a:prstGeom prst="rect">
          <a:avLst/>
        </a:prstGeom>
      </xdr:spPr>
    </xdr:pic>
    <xdr:clientData/>
  </xdr:oneCellAnchor>
</xdr:wsDr>
</file>

<file path=xl/drawings/drawing9.xml><?xml version="1.0" encoding="utf-8"?>
<xdr:wsDr xmlns:xdr="http://schemas.openxmlformats.org/drawingml/2006/spreadsheetDrawing" xmlns:a="http://schemas.openxmlformats.org/drawingml/2006/main">
  <xdr:oneCellAnchor>
    <xdr:from>
      <xdr:col>17</xdr:col>
      <xdr:colOff>0</xdr:colOff>
      <xdr:row>116</xdr:row>
      <xdr:rowOff>507778</xdr:rowOff>
    </xdr:from>
    <xdr:ext cx="2228850" cy="156019"/>
    <xdr:pic>
      <xdr:nvPicPr>
        <xdr:cNvPr id="14" name="14">
          <a:extLst>
            <a:ext uri="{FF2B5EF4-FFF2-40B4-BE49-F238E27FC236}">
              <a16:creationId xmlns:a16="http://schemas.microsoft.com/office/drawing/2014/main" id="{00000000-0008-0000-1000-00000E000000}"/>
            </a:ext>
          </a:extLst>
        </xdr:cNvPr>
        <xdr:cNvPicPr/>
      </xdr:nvPicPr>
      <xdr:blipFill>
        <a:blip xmlns:r="http://schemas.openxmlformats.org/officeDocument/2006/relationships" r:embed="rId1" r:link="rId1"/>
        <a:stretch>
          <a:fillRect/>
        </a:stretch>
      </xdr:blipFill>
      <xdr:spPr>
        <a:prstGeom prst="rect">
          <a:avLst/>
        </a:prstGeom>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等线" panose="020F0502020204030204"/>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8" Type="http://schemas.openxmlformats.org/officeDocument/2006/relationships/hyperlink" Target="https://jira.sudoinfotech.com/browse/YUNDUSIL-51" TargetMode="External"/><Relationship Id="rId13" Type="http://schemas.openxmlformats.org/officeDocument/2006/relationships/hyperlink" Target="https://jira.sudoinfotech.com/browse/YUNDUSIL-244" TargetMode="External"/><Relationship Id="rId18" Type="http://schemas.openxmlformats.org/officeDocument/2006/relationships/hyperlink" Target="https://jira.sudoinfotech.com/browse/YUNDUSIL-47" TargetMode="External"/><Relationship Id="rId26" Type="http://schemas.openxmlformats.org/officeDocument/2006/relationships/drawing" Target="../drawings/drawing7.xml"/><Relationship Id="rId3" Type="http://schemas.openxmlformats.org/officeDocument/2006/relationships/hyperlink" Target="https://jira.sudoinfotech.com/browse/YUNDUSIL-50" TargetMode="External"/><Relationship Id="rId21" Type="http://schemas.openxmlformats.org/officeDocument/2006/relationships/hyperlink" Target="https://jira.sudoinfotech.com/browse/YUNDUSIL-75" TargetMode="External"/><Relationship Id="rId7" Type="http://schemas.openxmlformats.org/officeDocument/2006/relationships/hyperlink" Target="https://jira.sudoinfotech.com/browse/YUNDUSIL-49" TargetMode="External"/><Relationship Id="rId12" Type="http://schemas.openxmlformats.org/officeDocument/2006/relationships/hyperlink" Target="https://jira.sudoinfotech.com/browse/YUNDUSIL-39" TargetMode="External"/><Relationship Id="rId17" Type="http://schemas.openxmlformats.org/officeDocument/2006/relationships/hyperlink" Target="https://jira.sudoinfotech.com/browse/YUNDUSIL-47" TargetMode="External"/><Relationship Id="rId25" Type="http://schemas.openxmlformats.org/officeDocument/2006/relationships/hyperlink" Target="https://jira.sudoinfotech.com/browse/YUNDUSIL-243" TargetMode="External"/><Relationship Id="rId2" Type="http://schemas.openxmlformats.org/officeDocument/2006/relationships/hyperlink" Target="https://jira.sudoinfotech.com/browse/YUNDUSIL-27" TargetMode="External"/><Relationship Id="rId16" Type="http://schemas.openxmlformats.org/officeDocument/2006/relationships/hyperlink" Target="https://jira.sudoinfotech.com/browse/YUNDUSIL-45" TargetMode="External"/><Relationship Id="rId20" Type="http://schemas.openxmlformats.org/officeDocument/2006/relationships/hyperlink" Target="https://jira.sudoinfotech.com/browse/YUNDUSIL-75" TargetMode="External"/><Relationship Id="rId1" Type="http://schemas.openxmlformats.org/officeDocument/2006/relationships/hyperlink" Target="https://jira.sudoinfotech.com/browse/YUNDUSIL-28" TargetMode="External"/><Relationship Id="rId6" Type="http://schemas.openxmlformats.org/officeDocument/2006/relationships/hyperlink" Target="https://jira.sudoinfotech.com/browse/YUNDUSIL-72" TargetMode="External"/><Relationship Id="rId11" Type="http://schemas.openxmlformats.org/officeDocument/2006/relationships/hyperlink" Target="https://jira.sudoinfotech.com/browse/YUNDUSIL-51" TargetMode="External"/><Relationship Id="rId24" Type="http://schemas.openxmlformats.org/officeDocument/2006/relationships/hyperlink" Target="https://jira.sudoinfotech.com/browse/YUNDUSIL-243" TargetMode="External"/><Relationship Id="rId5" Type="http://schemas.openxmlformats.org/officeDocument/2006/relationships/hyperlink" Target="https://jira.sudoinfotech.com/browse/YUNDUSIL-49" TargetMode="External"/><Relationship Id="rId15" Type="http://schemas.openxmlformats.org/officeDocument/2006/relationships/hyperlink" Target="https://jira.sudoinfotech.com/browse/YUNDUSIL-24" TargetMode="External"/><Relationship Id="rId23" Type="http://schemas.openxmlformats.org/officeDocument/2006/relationships/hyperlink" Target="https://drive.weixin.qq.com/s?k=AEUAOwcBABAzFo48yPAYkAAAbXAEw" TargetMode="External"/><Relationship Id="rId10" Type="http://schemas.openxmlformats.org/officeDocument/2006/relationships/hyperlink" Target="https://jira.sudoinfotech.com/browse/YUNDUSIL-51" TargetMode="External"/><Relationship Id="rId19" Type="http://schemas.openxmlformats.org/officeDocument/2006/relationships/hyperlink" Target="https://jira.sudoinfotech.com/browse/YUNDUSIL-47" TargetMode="External"/><Relationship Id="rId4" Type="http://schemas.openxmlformats.org/officeDocument/2006/relationships/hyperlink" Target="https://jira.sudoinfotech.com/browse/YUNDUSIL-50" TargetMode="External"/><Relationship Id="rId9" Type="http://schemas.openxmlformats.org/officeDocument/2006/relationships/hyperlink" Target="https://jira.sudoinfotech.com/browse/YUNDUSIL-51" TargetMode="External"/><Relationship Id="rId14" Type="http://schemas.openxmlformats.org/officeDocument/2006/relationships/hyperlink" Target="https://jira.sudoinfotech.com/browse/YUNDUSIL-244" TargetMode="External"/><Relationship Id="rId22" Type="http://schemas.openxmlformats.org/officeDocument/2006/relationships/hyperlink" Target="https://drive.weixin.qq.com/s?k=AEUAOwcBABAab0kS0nAYkAAAbXAEw" TargetMode="Externa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7.xml.rels><?xml version="1.0" encoding="UTF-8" standalone="yes"?>
<Relationships xmlns="http://schemas.openxmlformats.org/package/2006/relationships"><Relationship Id="rId3" Type="http://schemas.openxmlformats.org/officeDocument/2006/relationships/hyperlink" Target="https://jira.sudoinfotech.com/browse/YUNDUSIL-145" TargetMode="External"/><Relationship Id="rId2" Type="http://schemas.openxmlformats.org/officeDocument/2006/relationships/hyperlink" Target="https://jira.sudoinfotech.com/browse/YUNDUSIL-68" TargetMode="External"/><Relationship Id="rId1" Type="http://schemas.openxmlformats.org/officeDocument/2006/relationships/hyperlink" Target="https://jira.sudoinfotech.com/browse/YUNDUSIL-66" TargetMode="External"/><Relationship Id="rId5" Type="http://schemas.openxmlformats.org/officeDocument/2006/relationships/drawing" Target="../drawings/drawing9.xml"/><Relationship Id="rId4" Type="http://schemas.openxmlformats.org/officeDocument/2006/relationships/hyperlink" Target="https://jira.sudoinfotech.com/browse/YUNDUSIL-118" TargetMode="External"/></Relationships>
</file>

<file path=xl/worksheets/_rels/sheet18.xml.rels><?xml version="1.0" encoding="UTF-8" standalone="yes"?>
<Relationships xmlns="http://schemas.openxmlformats.org/package/2006/relationships"><Relationship Id="rId8" Type="http://schemas.openxmlformats.org/officeDocument/2006/relationships/hyperlink" Target="https://jira.sudoinfotech.com/browse/YUNDUSIL-16" TargetMode="External"/><Relationship Id="rId13" Type="http://schemas.openxmlformats.org/officeDocument/2006/relationships/drawing" Target="../drawings/drawing10.xml"/><Relationship Id="rId3" Type="http://schemas.openxmlformats.org/officeDocument/2006/relationships/hyperlink" Target="https://jira.sudoinfotech.com/browse/YUNDUSIL-9" TargetMode="External"/><Relationship Id="rId7" Type="http://schemas.openxmlformats.org/officeDocument/2006/relationships/hyperlink" Target="https://jira.sudoinfotech.com/browse/YUNDUSIL-14" TargetMode="External"/><Relationship Id="rId12" Type="http://schemas.openxmlformats.org/officeDocument/2006/relationships/hyperlink" Target="https://jira.sudoinfotech.com/browse/YUNDUSIL-19" TargetMode="External"/><Relationship Id="rId2" Type="http://schemas.openxmlformats.org/officeDocument/2006/relationships/hyperlink" Target="https://jira.sudoinfotech.com/browse/YUNDUSIL-7" TargetMode="External"/><Relationship Id="rId1" Type="http://schemas.openxmlformats.org/officeDocument/2006/relationships/hyperlink" Target="https://doc.weixin.qq.com/sheet/e3_AYAACgZMAIEBr2AxBFuQgWJW38LDg?scode=AEUAOwcBABABFYJL7iAfUAZAbnAME&amp;tab=BB08J2" TargetMode="External"/><Relationship Id="rId6" Type="http://schemas.openxmlformats.org/officeDocument/2006/relationships/hyperlink" Target="https://jira.sudoinfotech.com/browse/YUNDUSIL-12" TargetMode="External"/><Relationship Id="rId11" Type="http://schemas.openxmlformats.org/officeDocument/2006/relationships/hyperlink" Target="https://jira.sudoinfotech.com/browse/YUNDUSIL-20" TargetMode="External"/><Relationship Id="rId5" Type="http://schemas.openxmlformats.org/officeDocument/2006/relationships/hyperlink" Target="https://jira.sudoinfotech.com/browse/YUNDUSIL-11" TargetMode="External"/><Relationship Id="rId10" Type="http://schemas.openxmlformats.org/officeDocument/2006/relationships/hyperlink" Target="https://jira.sudoinfotech.com/browse/YUNDUSIL-21" TargetMode="External"/><Relationship Id="rId4" Type="http://schemas.openxmlformats.org/officeDocument/2006/relationships/hyperlink" Target="https://jira.sudoinfotech.com/browse/YUNDUSIL-10" TargetMode="External"/><Relationship Id="rId9" Type="http://schemas.openxmlformats.org/officeDocument/2006/relationships/hyperlink" Target="https://jira.sudoinfotech.com/browse/YUNDUSIL-17" TargetMode="External"/></Relationships>
</file>

<file path=xl/worksheets/_rels/sheet19.xml.rels><?xml version="1.0" encoding="UTF-8" standalone="yes"?>
<Relationships xmlns="http://schemas.openxmlformats.org/package/2006/relationships"><Relationship Id="rId1" Type="http://schemas.openxmlformats.org/officeDocument/2006/relationships/hyperlink" Target="https://jira.sudoinfotech.com/browse/YUNDUSIL-302"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hyperlink" Target="https://jira.sudoinfotech.com/browse/YUNDUSIL-61" TargetMode="External"/><Relationship Id="rId1" Type="http://schemas.openxmlformats.org/officeDocument/2006/relationships/hyperlink" Target="https://jira.sudoinfotech.com/browse/YUNDUSIL-193"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FFFF"/>
  </sheetPr>
  <dimension ref="A1:F38"/>
  <sheetViews>
    <sheetView workbookViewId="0">
      <selection sqref="A1:F1"/>
    </sheetView>
  </sheetViews>
  <sheetFormatPr defaultRowHeight="13"/>
  <cols>
    <col min="1" max="1" width="26.26953125" customWidth="1"/>
    <col min="2" max="2" width="27.453125" customWidth="1"/>
    <col min="3" max="3" width="21.7265625" customWidth="1"/>
    <col min="4" max="4" width="35.453125" customWidth="1"/>
    <col min="5" max="11" width="12.54296875" customWidth="1"/>
  </cols>
  <sheetData>
    <row r="1" spans="1:6" ht="14">
      <c r="A1" s="946" t="s">
        <v>1538</v>
      </c>
      <c r="B1" s="946"/>
      <c r="C1" s="946"/>
      <c r="D1" s="946"/>
      <c r="E1" s="946"/>
      <c r="F1" s="946"/>
    </row>
    <row r="2" spans="1:6" ht="14">
      <c r="A2" s="612" t="s">
        <v>1539</v>
      </c>
      <c r="B2" s="612" t="s">
        <v>1540</v>
      </c>
      <c r="C2" s="612" t="s">
        <v>1541</v>
      </c>
      <c r="D2" s="612" t="s">
        <v>1542</v>
      </c>
      <c r="E2" s="613" t="s">
        <v>1543</v>
      </c>
      <c r="F2" s="612" t="s">
        <v>1544</v>
      </c>
    </row>
    <row r="3" spans="1:6">
      <c r="A3" s="614" t="s">
        <v>1545</v>
      </c>
      <c r="B3" s="615"/>
      <c r="C3" s="616">
        <v>45241</v>
      </c>
      <c r="D3" s="617" t="s">
        <v>1546</v>
      </c>
      <c r="E3" s="618"/>
      <c r="F3" s="619"/>
    </row>
    <row r="4" spans="1:6">
      <c r="A4" s="947"/>
      <c r="B4" s="615"/>
      <c r="C4" s="620"/>
      <c r="D4" s="621"/>
      <c r="E4" s="622"/>
      <c r="F4" s="623"/>
    </row>
    <row r="5" spans="1:6">
      <c r="A5" s="948"/>
      <c r="B5" s="615"/>
      <c r="C5" s="620"/>
      <c r="D5" s="619"/>
      <c r="E5" s="622"/>
      <c r="F5" s="623"/>
    </row>
    <row r="6" spans="1:6">
      <c r="A6" s="948"/>
      <c r="B6" s="615"/>
      <c r="C6" s="620"/>
      <c r="D6" s="619"/>
      <c r="E6" s="622"/>
      <c r="F6" s="623"/>
    </row>
    <row r="7" spans="1:6">
      <c r="A7" s="948"/>
      <c r="B7" s="615"/>
      <c r="C7" s="620"/>
      <c r="D7" s="619"/>
      <c r="E7" s="622"/>
      <c r="F7" s="623"/>
    </row>
    <row r="8" spans="1:6">
      <c r="A8" s="949"/>
      <c r="B8" s="615"/>
      <c r="C8" s="620"/>
      <c r="D8" s="624"/>
      <c r="E8" s="622"/>
      <c r="F8" s="623"/>
    </row>
    <row r="9" spans="1:6">
      <c r="A9" s="615"/>
      <c r="B9" s="615"/>
      <c r="C9" s="620"/>
      <c r="D9" s="619"/>
      <c r="E9" s="625"/>
      <c r="F9" s="623"/>
    </row>
    <row r="10" spans="1:6">
      <c r="A10" s="615"/>
      <c r="B10" s="615"/>
      <c r="C10" s="620"/>
      <c r="D10" s="619"/>
      <c r="E10" s="622"/>
      <c r="F10" s="623"/>
    </row>
    <row r="11" spans="1:6">
      <c r="A11" s="615"/>
      <c r="B11" s="615"/>
      <c r="C11" s="620"/>
      <c r="D11" s="622"/>
      <c r="E11" s="622"/>
      <c r="F11" s="622"/>
    </row>
    <row r="12" spans="1:6">
      <c r="A12" s="615"/>
      <c r="B12" s="615"/>
      <c r="C12" s="622"/>
      <c r="D12" s="622"/>
      <c r="E12" s="622"/>
      <c r="F12" s="622"/>
    </row>
    <row r="13" spans="1:6">
      <c r="A13" s="615"/>
      <c r="B13" s="615"/>
      <c r="C13" s="622"/>
      <c r="D13" s="622"/>
      <c r="E13" s="622"/>
      <c r="F13" s="622"/>
    </row>
    <row r="14" spans="1:6">
      <c r="A14" s="615"/>
      <c r="B14" s="615"/>
      <c r="C14" s="622"/>
      <c r="D14" s="622"/>
      <c r="E14" s="622"/>
      <c r="F14" s="622"/>
    </row>
    <row r="15" spans="1:6">
      <c r="A15" s="615"/>
      <c r="B15" s="615"/>
      <c r="C15" s="622"/>
      <c r="D15" s="622"/>
      <c r="E15" s="622"/>
      <c r="F15" s="622"/>
    </row>
    <row r="24" spans="6:6" ht="14.5">
      <c r="F24" s="626" t="s">
        <v>1547</v>
      </c>
    </row>
    <row r="38" spans="6:6" ht="14.5">
      <c r="F38" s="626" t="s">
        <v>1548</v>
      </c>
    </row>
  </sheetData>
  <mergeCells count="2">
    <mergeCell ref="A1:F1"/>
    <mergeCell ref="A4:A8"/>
  </mergeCells>
  <phoneticPr fontId="106"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网络场景"/>
  <dimension ref="A1:P35"/>
  <sheetViews>
    <sheetView workbookViewId="0">
      <pane xSplit="15" ySplit="2" topLeftCell="P3" activePane="bottomRight" state="frozen"/>
      <selection pane="topRight"/>
      <selection pane="bottomLeft"/>
      <selection pane="bottomRight" activeCell="P3" sqref="P3"/>
    </sheetView>
  </sheetViews>
  <sheetFormatPr defaultRowHeight="14"/>
  <cols>
    <col min="1" max="1" width="27" style="35" customWidth="1"/>
    <col min="2" max="3" width="13.6328125" style="35" customWidth="1"/>
    <col min="4" max="4" width="20.453125" style="35" customWidth="1"/>
    <col min="5" max="5" width="27" style="35" customWidth="1"/>
    <col min="6" max="6" width="40.6328125" style="35" customWidth="1"/>
    <col min="7" max="7" width="37.36328125" style="35" customWidth="1"/>
    <col min="8" max="8" width="11.08984375" style="35" customWidth="1"/>
    <col min="9" max="9" width="13.6328125" style="35" customWidth="1"/>
    <col min="10" max="11" width="13.453125" style="35" customWidth="1"/>
    <col min="12" max="14" width="13.7265625" style="35" customWidth="1"/>
    <col min="15" max="15" width="83.36328125" style="35" customWidth="1"/>
    <col min="16" max="16" width="27" style="35" customWidth="1"/>
  </cols>
  <sheetData>
    <row r="1" spans="1:16" ht="33" customHeight="1">
      <c r="A1" s="1016" t="s">
        <v>0</v>
      </c>
      <c r="B1" s="1012" t="s">
        <v>1</v>
      </c>
      <c r="C1" s="1013" t="s">
        <v>2</v>
      </c>
      <c r="D1" s="1012" t="s">
        <v>3</v>
      </c>
      <c r="E1" s="1012" t="s">
        <v>4</v>
      </c>
      <c r="F1" s="1012" t="s">
        <v>5</v>
      </c>
      <c r="G1" s="1012" t="s">
        <v>6</v>
      </c>
      <c r="H1" s="1012" t="s">
        <v>7</v>
      </c>
      <c r="I1" s="1012" t="s">
        <v>8</v>
      </c>
      <c r="J1" s="1015" t="s">
        <v>9</v>
      </c>
      <c r="K1" s="990"/>
      <c r="L1" s="990"/>
      <c r="M1" s="990"/>
      <c r="N1" s="991"/>
      <c r="O1" s="1012" t="s">
        <v>10</v>
      </c>
      <c r="P1" s="875"/>
    </row>
    <row r="2" spans="1:16" ht="44.25" customHeight="1">
      <c r="A2" s="1017"/>
      <c r="B2" s="1001"/>
      <c r="C2" s="1014"/>
      <c r="D2" s="1001"/>
      <c r="E2" s="1001"/>
      <c r="F2" s="1001"/>
      <c r="G2" s="1001"/>
      <c r="H2" s="1001"/>
      <c r="I2" s="1001"/>
      <c r="J2" s="601" t="s">
        <v>1357</v>
      </c>
      <c r="K2" s="601" t="s">
        <v>13</v>
      </c>
      <c r="L2" s="601" t="s">
        <v>299</v>
      </c>
      <c r="M2" s="601" t="s">
        <v>14</v>
      </c>
      <c r="N2" s="601" t="s">
        <v>432</v>
      </c>
      <c r="O2" s="1001"/>
      <c r="P2" s="875"/>
    </row>
    <row r="3" spans="1:16" ht="70">
      <c r="A3" s="643" t="s">
        <v>3010</v>
      </c>
      <c r="B3" s="643"/>
      <c r="C3" s="643" t="s">
        <v>16</v>
      </c>
      <c r="D3" s="15" t="s">
        <v>3011</v>
      </c>
      <c r="E3" s="16" t="s">
        <v>3012</v>
      </c>
      <c r="F3" s="641" t="s">
        <v>3013</v>
      </c>
      <c r="G3" s="641" t="s">
        <v>3014</v>
      </c>
      <c r="H3" s="641" t="s">
        <v>21</v>
      </c>
      <c r="I3" s="641" t="s">
        <v>22</v>
      </c>
      <c r="J3" s="21" t="s">
        <v>64</v>
      </c>
      <c r="K3" s="21"/>
      <c r="L3" s="21"/>
      <c r="M3" s="21" t="s">
        <v>23</v>
      </c>
      <c r="N3" s="21"/>
      <c r="O3" s="643" t="s">
        <v>3015</v>
      </c>
    </row>
    <row r="4" spans="1:16" ht="140">
      <c r="A4" s="643" t="s">
        <v>3016</v>
      </c>
      <c r="B4" s="643"/>
      <c r="C4" s="643" t="s">
        <v>16</v>
      </c>
      <c r="D4" s="15" t="s">
        <v>3017</v>
      </c>
      <c r="E4" s="16" t="s">
        <v>3018</v>
      </c>
      <c r="F4" s="641" t="s">
        <v>3019</v>
      </c>
      <c r="G4" s="641" t="s">
        <v>3020</v>
      </c>
      <c r="H4" s="641" t="s">
        <v>21</v>
      </c>
      <c r="I4" s="641" t="s">
        <v>22</v>
      </c>
      <c r="J4" s="21" t="s">
        <v>23</v>
      </c>
      <c r="K4" s="21"/>
      <c r="L4" s="21"/>
      <c r="M4" s="21"/>
      <c r="N4" s="21"/>
      <c r="O4" s="643"/>
    </row>
    <row r="5" spans="1:16" ht="84">
      <c r="A5" s="876" t="s">
        <v>3021</v>
      </c>
      <c r="B5" s="643"/>
      <c r="C5" s="643" t="s">
        <v>16</v>
      </c>
      <c r="D5" s="643" t="s">
        <v>3022</v>
      </c>
      <c r="E5" s="641" t="s">
        <v>3023</v>
      </c>
      <c r="F5" s="641" t="s">
        <v>3024</v>
      </c>
      <c r="G5" s="641" t="s">
        <v>3025</v>
      </c>
      <c r="H5" s="643" t="s">
        <v>21</v>
      </c>
      <c r="I5" s="643" t="s">
        <v>22</v>
      </c>
      <c r="J5" s="21" t="s">
        <v>23</v>
      </c>
      <c r="K5" s="21"/>
      <c r="L5" s="21"/>
      <c r="M5" s="21"/>
      <c r="N5" s="21"/>
      <c r="O5" s="643"/>
    </row>
    <row r="6" spans="1:16" ht="84">
      <c r="A6" s="876" t="s">
        <v>3026</v>
      </c>
      <c r="B6" s="643"/>
      <c r="C6" s="643" t="s">
        <v>16</v>
      </c>
      <c r="D6" s="643" t="s">
        <v>3027</v>
      </c>
      <c r="E6" s="641" t="s">
        <v>3028</v>
      </c>
      <c r="F6" s="641" t="s">
        <v>3029</v>
      </c>
      <c r="G6" s="641" t="s">
        <v>3025</v>
      </c>
      <c r="H6" s="641" t="s">
        <v>21</v>
      </c>
      <c r="I6" s="641" t="s">
        <v>22</v>
      </c>
      <c r="J6" s="661" t="s">
        <v>23</v>
      </c>
      <c r="K6" s="21"/>
      <c r="L6" s="21"/>
      <c r="M6" s="21"/>
      <c r="N6" s="21"/>
      <c r="O6" s="641"/>
      <c r="P6" s="162"/>
    </row>
    <row r="7" spans="1:16" ht="140">
      <c r="A7" s="876" t="s">
        <v>3030</v>
      </c>
      <c r="B7" s="643"/>
      <c r="C7" s="643" t="s">
        <v>16</v>
      </c>
      <c r="D7" s="643" t="s">
        <v>3031</v>
      </c>
      <c r="E7" s="641" t="s">
        <v>3032</v>
      </c>
      <c r="F7" s="641" t="s">
        <v>3033</v>
      </c>
      <c r="G7" s="641" t="s">
        <v>3034</v>
      </c>
      <c r="H7" s="643" t="s">
        <v>21</v>
      </c>
      <c r="I7" s="643" t="s">
        <v>22</v>
      </c>
      <c r="J7" s="21" t="s">
        <v>64</v>
      </c>
      <c r="K7" s="21"/>
      <c r="L7" s="21" t="s">
        <v>23</v>
      </c>
      <c r="M7" s="21"/>
      <c r="N7" s="21"/>
      <c r="O7" s="643"/>
    </row>
    <row r="8" spans="1:16" ht="140">
      <c r="A8" s="876" t="s">
        <v>3035</v>
      </c>
      <c r="B8" s="643"/>
      <c r="C8" s="643" t="s">
        <v>16</v>
      </c>
      <c r="D8" s="643" t="s">
        <v>3036</v>
      </c>
      <c r="E8" s="641" t="s">
        <v>3032</v>
      </c>
      <c r="F8" s="641" t="s">
        <v>3037</v>
      </c>
      <c r="G8" s="641" t="s">
        <v>3034</v>
      </c>
      <c r="H8" s="643" t="s">
        <v>21</v>
      </c>
      <c r="I8" s="643" t="s">
        <v>22</v>
      </c>
      <c r="J8" s="21" t="s">
        <v>64</v>
      </c>
      <c r="K8" s="21"/>
      <c r="L8" s="21" t="s">
        <v>23</v>
      </c>
      <c r="M8" s="21"/>
      <c r="N8" s="21"/>
      <c r="O8" s="643"/>
    </row>
    <row r="9" spans="1:16" ht="168">
      <c r="A9" s="876" t="s">
        <v>3038</v>
      </c>
      <c r="B9" s="643"/>
      <c r="C9" s="643" t="s">
        <v>16</v>
      </c>
      <c r="D9" s="643" t="s">
        <v>3039</v>
      </c>
      <c r="E9" s="641" t="s">
        <v>3040</v>
      </c>
      <c r="F9" s="641" t="s">
        <v>3041</v>
      </c>
      <c r="G9" s="641" t="s">
        <v>3034</v>
      </c>
      <c r="H9" s="643" t="s">
        <v>21</v>
      </c>
      <c r="I9" s="643" t="s">
        <v>22</v>
      </c>
      <c r="J9" s="21" t="s">
        <v>64</v>
      </c>
      <c r="K9" s="21"/>
      <c r="L9" s="21" t="s">
        <v>23</v>
      </c>
      <c r="M9" s="21"/>
      <c r="N9" s="21"/>
      <c r="O9" s="643"/>
    </row>
    <row r="10" spans="1:16" ht="126">
      <c r="A10" s="643" t="s">
        <v>3042</v>
      </c>
      <c r="B10" s="643"/>
      <c r="C10" s="643" t="s">
        <v>16</v>
      </c>
      <c r="D10" s="643" t="s">
        <v>3043</v>
      </c>
      <c r="E10" s="641" t="s">
        <v>3044</v>
      </c>
      <c r="F10" s="641" t="s">
        <v>3045</v>
      </c>
      <c r="G10" s="642" t="s">
        <v>3046</v>
      </c>
      <c r="H10" s="643" t="s">
        <v>21</v>
      </c>
      <c r="I10" s="643" t="s">
        <v>22</v>
      </c>
      <c r="J10" s="21" t="s">
        <v>23</v>
      </c>
      <c r="K10" s="21"/>
      <c r="L10" s="21"/>
      <c r="M10" s="21"/>
      <c r="N10" s="21"/>
      <c r="O10" s="643"/>
    </row>
    <row r="11" spans="1:16" ht="98">
      <c r="A11" s="643" t="s">
        <v>3047</v>
      </c>
      <c r="B11" s="643"/>
      <c r="C11" s="643" t="s">
        <v>16</v>
      </c>
      <c r="D11" s="641" t="s">
        <v>3048</v>
      </c>
      <c r="E11" s="641" t="s">
        <v>3049</v>
      </c>
      <c r="F11" s="641" t="s">
        <v>3050</v>
      </c>
      <c r="G11" s="642" t="s">
        <v>3051</v>
      </c>
      <c r="H11" s="643" t="s">
        <v>21</v>
      </c>
      <c r="I11" s="643" t="s">
        <v>22</v>
      </c>
      <c r="J11" s="21" t="s">
        <v>23</v>
      </c>
      <c r="K11" s="21"/>
      <c r="L11" s="21"/>
      <c r="M11" s="21"/>
      <c r="N11" s="21"/>
      <c r="O11" s="643"/>
    </row>
    <row r="12" spans="1:16" ht="98">
      <c r="A12" s="643" t="s">
        <v>3052</v>
      </c>
      <c r="B12" s="877"/>
      <c r="C12" s="643" t="s">
        <v>16</v>
      </c>
      <c r="D12" s="641" t="s">
        <v>3053</v>
      </c>
      <c r="E12" s="641" t="s">
        <v>3054</v>
      </c>
      <c r="F12" s="641" t="s">
        <v>3050</v>
      </c>
      <c r="G12" s="642" t="s">
        <v>3051</v>
      </c>
      <c r="H12" s="643" t="s">
        <v>2461</v>
      </c>
      <c r="I12" s="643" t="s">
        <v>22</v>
      </c>
      <c r="J12" s="661"/>
      <c r="K12" s="21"/>
      <c r="L12" s="21"/>
      <c r="M12" s="21"/>
      <c r="N12" s="21" t="s">
        <v>23</v>
      </c>
      <c r="O12" s="643"/>
    </row>
    <row r="13" spans="1:16" ht="98">
      <c r="A13" s="876" t="s">
        <v>3055</v>
      </c>
      <c r="B13" s="877"/>
      <c r="C13" s="643" t="s">
        <v>16</v>
      </c>
      <c r="D13" s="651" t="s">
        <v>3056</v>
      </c>
      <c r="E13" s="651" t="s">
        <v>3057</v>
      </c>
      <c r="F13" s="16" t="s">
        <v>3050</v>
      </c>
      <c r="G13" s="642" t="s">
        <v>3051</v>
      </c>
      <c r="H13" s="643" t="s">
        <v>2461</v>
      </c>
      <c r="I13" s="643" t="s">
        <v>22</v>
      </c>
      <c r="J13" s="661"/>
      <c r="K13" s="21"/>
      <c r="L13" s="21"/>
      <c r="M13" s="21" t="s">
        <v>23</v>
      </c>
      <c r="N13" s="21"/>
      <c r="O13" s="643"/>
    </row>
    <row r="14" spans="1:16" ht="98">
      <c r="A14" s="659" t="s">
        <v>3058</v>
      </c>
      <c r="B14" s="653"/>
      <c r="C14" s="15" t="s">
        <v>16</v>
      </c>
      <c r="D14" s="651" t="s">
        <v>3059</v>
      </c>
      <c r="E14" s="651" t="s">
        <v>3060</v>
      </c>
      <c r="F14" s="16" t="s">
        <v>3050</v>
      </c>
      <c r="G14" s="18" t="s">
        <v>3061</v>
      </c>
      <c r="H14" s="15" t="s">
        <v>21</v>
      </c>
      <c r="I14" s="15" t="s">
        <v>22</v>
      </c>
      <c r="J14" s="661"/>
      <c r="K14" s="21"/>
      <c r="L14" s="21"/>
      <c r="M14" s="21"/>
      <c r="N14" s="21" t="s">
        <v>23</v>
      </c>
      <c r="O14" s="15"/>
    </row>
    <row r="15" spans="1:16" ht="98">
      <c r="A15" s="659" t="s">
        <v>3062</v>
      </c>
      <c r="B15" s="653"/>
      <c r="C15" s="15" t="s">
        <v>16</v>
      </c>
      <c r="D15" s="651" t="s">
        <v>3063</v>
      </c>
      <c r="E15" s="651" t="s">
        <v>3064</v>
      </c>
      <c r="F15" s="16" t="s">
        <v>3065</v>
      </c>
      <c r="G15" s="18" t="s">
        <v>3066</v>
      </c>
      <c r="H15" s="15" t="s">
        <v>21</v>
      </c>
      <c r="I15" s="15" t="s">
        <v>22</v>
      </c>
      <c r="J15" s="661"/>
      <c r="K15" s="21"/>
      <c r="L15" s="21"/>
      <c r="M15" s="21"/>
      <c r="N15" s="21" t="s">
        <v>23</v>
      </c>
      <c r="O15" s="15" t="s">
        <v>3067</v>
      </c>
    </row>
    <row r="16" spans="1:16" ht="98">
      <c r="A16" s="659" t="s">
        <v>3068</v>
      </c>
      <c r="B16" s="653"/>
      <c r="C16" s="15" t="s">
        <v>16</v>
      </c>
      <c r="D16" s="651" t="s">
        <v>3069</v>
      </c>
      <c r="E16" s="651" t="s">
        <v>3070</v>
      </c>
      <c r="F16" s="16" t="s">
        <v>3065</v>
      </c>
      <c r="G16" s="18" t="s">
        <v>3071</v>
      </c>
      <c r="H16" s="15" t="s">
        <v>21</v>
      </c>
      <c r="I16" s="15" t="s">
        <v>22</v>
      </c>
      <c r="J16" s="661"/>
      <c r="K16" s="21"/>
      <c r="L16" s="21"/>
      <c r="M16" s="21"/>
      <c r="N16" s="21" t="s">
        <v>23</v>
      </c>
      <c r="O16" s="15" t="s">
        <v>3072</v>
      </c>
    </row>
    <row r="17" spans="1:16" ht="98">
      <c r="A17" s="659" t="s">
        <v>3073</v>
      </c>
      <c r="B17" s="653"/>
      <c r="C17" s="15" t="s">
        <v>16</v>
      </c>
      <c r="D17" s="651" t="s">
        <v>3074</v>
      </c>
      <c r="E17" s="651" t="s">
        <v>3075</v>
      </c>
      <c r="F17" s="16" t="s">
        <v>3065</v>
      </c>
      <c r="G17" s="18" t="s">
        <v>3076</v>
      </c>
      <c r="H17" s="15" t="s">
        <v>21</v>
      </c>
      <c r="I17" s="15" t="s">
        <v>22</v>
      </c>
      <c r="J17" s="661"/>
      <c r="K17" s="21"/>
      <c r="L17" s="21"/>
      <c r="M17" s="21"/>
      <c r="N17" s="21" t="s">
        <v>23</v>
      </c>
      <c r="O17" s="15"/>
    </row>
    <row r="18" spans="1:16" ht="224">
      <c r="A18" s="659" t="s">
        <v>3077</v>
      </c>
      <c r="B18" s="653"/>
      <c r="C18" s="15" t="s">
        <v>16</v>
      </c>
      <c r="D18" s="15" t="s">
        <v>404</v>
      </c>
      <c r="E18" s="16" t="s">
        <v>3078</v>
      </c>
      <c r="F18" s="18" t="s">
        <v>406</v>
      </c>
      <c r="G18" s="16" t="s">
        <v>407</v>
      </c>
      <c r="H18" s="15" t="s">
        <v>21</v>
      </c>
      <c r="I18" s="15" t="s">
        <v>22</v>
      </c>
      <c r="J18" s="661" t="s">
        <v>23</v>
      </c>
      <c r="K18" s="21"/>
      <c r="L18" s="21"/>
      <c r="M18" s="21"/>
      <c r="N18" s="21"/>
      <c r="O18" s="15"/>
    </row>
    <row r="19" spans="1:16" ht="224">
      <c r="A19" s="659" t="s">
        <v>3079</v>
      </c>
      <c r="B19" s="653"/>
      <c r="C19" s="15" t="s">
        <v>16</v>
      </c>
      <c r="D19" s="15" t="s">
        <v>410</v>
      </c>
      <c r="E19" s="16" t="s">
        <v>3080</v>
      </c>
      <c r="F19" s="18" t="s">
        <v>412</v>
      </c>
      <c r="G19" s="16" t="s">
        <v>407</v>
      </c>
      <c r="H19" s="15" t="s">
        <v>21</v>
      </c>
      <c r="I19" s="15" t="s">
        <v>22</v>
      </c>
      <c r="J19" s="661" t="s">
        <v>64</v>
      </c>
      <c r="K19" s="21" t="s">
        <v>23</v>
      </c>
      <c r="L19" s="21"/>
      <c r="M19" s="21"/>
      <c r="N19" s="21"/>
      <c r="O19" s="15"/>
    </row>
    <row r="20" spans="1:16" ht="98">
      <c r="A20" s="878" t="s">
        <v>3081</v>
      </c>
      <c r="B20" s="653"/>
      <c r="C20" s="15" t="s">
        <v>16</v>
      </c>
      <c r="D20" s="15" t="s">
        <v>3082</v>
      </c>
      <c r="E20" s="16" t="s">
        <v>3083</v>
      </c>
      <c r="F20" s="18" t="s">
        <v>3084</v>
      </c>
      <c r="G20" s="16" t="s">
        <v>3085</v>
      </c>
      <c r="H20" s="15" t="s">
        <v>21</v>
      </c>
      <c r="I20" s="15" t="s">
        <v>22</v>
      </c>
      <c r="J20" s="661" t="s">
        <v>64</v>
      </c>
      <c r="K20" s="21"/>
      <c r="L20" s="21" t="s">
        <v>23</v>
      </c>
      <c r="M20" s="21"/>
      <c r="N20" s="21"/>
      <c r="O20" s="15"/>
    </row>
    <row r="21" spans="1:16" ht="112">
      <c r="A21" s="878" t="s">
        <v>3086</v>
      </c>
      <c r="B21" s="653"/>
      <c r="C21" s="15" t="s">
        <v>16</v>
      </c>
      <c r="D21" s="15" t="s">
        <v>3087</v>
      </c>
      <c r="E21" s="16" t="s">
        <v>3088</v>
      </c>
      <c r="F21" s="18" t="s">
        <v>3084</v>
      </c>
      <c r="G21" s="16" t="s">
        <v>3085</v>
      </c>
      <c r="H21" s="15" t="s">
        <v>21</v>
      </c>
      <c r="I21" s="15" t="s">
        <v>22</v>
      </c>
      <c r="J21" s="661"/>
      <c r="K21" s="21"/>
      <c r="L21" s="21" t="s">
        <v>23</v>
      </c>
      <c r="M21" s="21"/>
      <c r="N21" s="21"/>
      <c r="O21" s="15"/>
    </row>
    <row r="22" spans="1:16" ht="196">
      <c r="A22" s="878" t="s">
        <v>3089</v>
      </c>
      <c r="B22" s="653"/>
      <c r="C22" s="15" t="s">
        <v>16</v>
      </c>
      <c r="D22" s="15" t="s">
        <v>3090</v>
      </c>
      <c r="E22" s="16" t="s">
        <v>3091</v>
      </c>
      <c r="F22" s="18" t="s">
        <v>3092</v>
      </c>
      <c r="G22" s="16" t="s">
        <v>3093</v>
      </c>
      <c r="H22" s="15" t="s">
        <v>21</v>
      </c>
      <c r="I22" s="15" t="s">
        <v>22</v>
      </c>
      <c r="J22" s="661"/>
      <c r="K22" s="21"/>
      <c r="L22" s="21" t="s">
        <v>23</v>
      </c>
      <c r="M22" s="21"/>
      <c r="N22" s="21"/>
      <c r="O22" s="15"/>
    </row>
    <row r="23" spans="1:16" ht="98">
      <c r="A23" s="659" t="s">
        <v>3094</v>
      </c>
      <c r="B23" s="653"/>
      <c r="C23" s="15" t="s">
        <v>16</v>
      </c>
      <c r="D23" s="879" t="s">
        <v>3095</v>
      </c>
      <c r="E23" s="880" t="s">
        <v>3096</v>
      </c>
      <c r="F23" s="18" t="s">
        <v>3097</v>
      </c>
      <c r="G23" s="16" t="s">
        <v>3098</v>
      </c>
      <c r="H23" s="15" t="s">
        <v>21</v>
      </c>
      <c r="I23" s="15" t="s">
        <v>22</v>
      </c>
      <c r="J23" s="661" t="s">
        <v>23</v>
      </c>
      <c r="K23" s="21"/>
      <c r="L23" s="21"/>
      <c r="M23" s="21"/>
      <c r="N23" s="21"/>
      <c r="O23" s="15"/>
    </row>
    <row r="24" spans="1:16" ht="238">
      <c r="A24" s="15" t="s">
        <v>3099</v>
      </c>
      <c r="B24" s="653"/>
      <c r="C24" s="15" t="s">
        <v>16</v>
      </c>
      <c r="D24" s="15" t="s">
        <v>3100</v>
      </c>
      <c r="E24" s="651" t="s">
        <v>3101</v>
      </c>
      <c r="F24" s="18" t="s">
        <v>3102</v>
      </c>
      <c r="G24" s="641" t="s">
        <v>3103</v>
      </c>
      <c r="H24" s="15" t="s">
        <v>21</v>
      </c>
      <c r="I24" s="15" t="s">
        <v>22</v>
      </c>
      <c r="J24" s="661"/>
      <c r="K24" s="21"/>
      <c r="L24" s="21" t="s">
        <v>64</v>
      </c>
      <c r="M24" s="21"/>
      <c r="N24" s="21"/>
      <c r="O24" s="16" t="s">
        <v>3104</v>
      </c>
    </row>
    <row r="25" spans="1:16" ht="336">
      <c r="A25" s="15" t="s">
        <v>3105</v>
      </c>
      <c r="B25" s="653"/>
      <c r="C25" s="15" t="s">
        <v>16</v>
      </c>
      <c r="D25" s="15" t="s">
        <v>3106</v>
      </c>
      <c r="E25" s="651" t="s">
        <v>3107</v>
      </c>
      <c r="F25" s="18" t="s">
        <v>3108</v>
      </c>
      <c r="G25" s="641" t="s">
        <v>3109</v>
      </c>
      <c r="H25" s="15" t="s">
        <v>21</v>
      </c>
      <c r="I25" s="15" t="s">
        <v>22</v>
      </c>
      <c r="J25" s="661"/>
      <c r="K25" s="21" t="s">
        <v>23</v>
      </c>
      <c r="L25" s="21"/>
      <c r="M25" s="21"/>
      <c r="N25" s="21"/>
      <c r="O25" s="16" t="s">
        <v>3269</v>
      </c>
      <c r="P25" s="162"/>
    </row>
    <row r="26" spans="1:16" ht="210">
      <c r="A26" s="15" t="s">
        <v>3110</v>
      </c>
      <c r="B26" s="653"/>
      <c r="C26" s="15" t="s">
        <v>16</v>
      </c>
      <c r="D26" s="15" t="s">
        <v>3111</v>
      </c>
      <c r="E26" s="16" t="s">
        <v>3107</v>
      </c>
      <c r="F26" s="18" t="s">
        <v>3112</v>
      </c>
      <c r="G26" s="16" t="s">
        <v>3113</v>
      </c>
      <c r="H26" s="15" t="s">
        <v>21</v>
      </c>
      <c r="I26" s="15" t="s">
        <v>22</v>
      </c>
      <c r="J26" s="661"/>
      <c r="K26" s="21"/>
      <c r="L26" s="21"/>
      <c r="M26" s="21"/>
      <c r="N26" s="21" t="s">
        <v>23</v>
      </c>
      <c r="O26" s="15"/>
    </row>
    <row r="27" spans="1:16" ht="98">
      <c r="A27" s="15" t="s">
        <v>3114</v>
      </c>
      <c r="B27" s="653"/>
      <c r="C27" s="15" t="s">
        <v>16</v>
      </c>
      <c r="D27" s="16" t="s">
        <v>3115</v>
      </c>
      <c r="E27" s="16" t="s">
        <v>3116</v>
      </c>
      <c r="F27" s="18" t="s">
        <v>3117</v>
      </c>
      <c r="G27" s="16" t="s">
        <v>3118</v>
      </c>
      <c r="H27" s="15" t="s">
        <v>21</v>
      </c>
      <c r="I27" s="15" t="s">
        <v>22</v>
      </c>
      <c r="J27" s="661" t="s">
        <v>23</v>
      </c>
      <c r="K27" s="21"/>
      <c r="L27" s="21"/>
      <c r="M27" s="21"/>
      <c r="N27" s="21"/>
      <c r="O27" s="15"/>
    </row>
    <row r="28" spans="1:16" ht="168">
      <c r="A28" s="15" t="s">
        <v>3119</v>
      </c>
      <c r="B28" s="653"/>
      <c r="C28" s="15" t="s">
        <v>16</v>
      </c>
      <c r="D28" s="16" t="s">
        <v>3120</v>
      </c>
      <c r="E28" s="645" t="s">
        <v>3121</v>
      </c>
      <c r="F28" s="18" t="s">
        <v>3122</v>
      </c>
      <c r="G28" s="16" t="s">
        <v>3123</v>
      </c>
      <c r="H28" s="15" t="s">
        <v>21</v>
      </c>
      <c r="I28" s="15" t="s">
        <v>22</v>
      </c>
      <c r="J28" s="661" t="s">
        <v>64</v>
      </c>
      <c r="K28" s="21"/>
      <c r="L28" s="21"/>
      <c r="M28" s="21"/>
      <c r="N28" s="21" t="s">
        <v>23</v>
      </c>
      <c r="O28" s="16" t="s">
        <v>3124</v>
      </c>
      <c r="P28" s="162"/>
    </row>
    <row r="29" spans="1:16" ht="168">
      <c r="A29" s="15" t="s">
        <v>3125</v>
      </c>
      <c r="B29" s="653"/>
      <c r="C29" s="15" t="s">
        <v>16</v>
      </c>
      <c r="D29" s="16" t="s">
        <v>3126</v>
      </c>
      <c r="E29" s="16" t="s">
        <v>3121</v>
      </c>
      <c r="F29" s="18" t="s">
        <v>3127</v>
      </c>
      <c r="G29" s="16" t="s">
        <v>3128</v>
      </c>
      <c r="H29" s="15" t="s">
        <v>21</v>
      </c>
      <c r="I29" s="15" t="s">
        <v>22</v>
      </c>
      <c r="J29" s="661"/>
      <c r="K29" s="21" t="s">
        <v>23</v>
      </c>
      <c r="L29" s="21"/>
      <c r="M29" s="21"/>
      <c r="N29" s="21"/>
      <c r="O29" s="15" t="s">
        <v>306</v>
      </c>
    </row>
    <row r="30" spans="1:16" ht="112">
      <c r="A30" s="15" t="s">
        <v>3129</v>
      </c>
      <c r="B30" s="653"/>
      <c r="C30" s="15" t="s">
        <v>16</v>
      </c>
      <c r="D30" s="881" t="s">
        <v>3130</v>
      </c>
      <c r="E30" s="18" t="s">
        <v>3131</v>
      </c>
      <c r="F30" s="18" t="s">
        <v>3132</v>
      </c>
      <c r="G30" s="18" t="s">
        <v>3133</v>
      </c>
      <c r="H30" s="15" t="s">
        <v>21</v>
      </c>
      <c r="I30" s="15" t="s">
        <v>22</v>
      </c>
      <c r="J30" s="21" t="s">
        <v>64</v>
      </c>
      <c r="K30" s="21"/>
      <c r="L30" s="21"/>
      <c r="M30" s="21"/>
      <c r="N30" s="21"/>
      <c r="O30" s="16" t="s">
        <v>3134</v>
      </c>
    </row>
    <row r="31" spans="1:16" ht="84">
      <c r="A31" s="15" t="s">
        <v>3135</v>
      </c>
      <c r="B31" s="882"/>
      <c r="C31" s="882" t="s">
        <v>16</v>
      </c>
      <c r="D31" s="881" t="s">
        <v>3136</v>
      </c>
      <c r="E31" s="18" t="s">
        <v>3137</v>
      </c>
      <c r="F31" s="18" t="s">
        <v>3138</v>
      </c>
      <c r="G31" s="18" t="s">
        <v>3139</v>
      </c>
      <c r="H31" s="15" t="s">
        <v>21</v>
      </c>
      <c r="I31" s="15" t="s">
        <v>22</v>
      </c>
      <c r="J31" s="21" t="s">
        <v>23</v>
      </c>
      <c r="K31" s="21"/>
      <c r="L31" s="21"/>
      <c r="M31" s="21"/>
      <c r="N31" s="21"/>
      <c r="O31" s="15"/>
    </row>
    <row r="32" spans="1:16" ht="98">
      <c r="A32" s="15" t="s">
        <v>3140</v>
      </c>
      <c r="B32" s="882"/>
      <c r="C32" s="882" t="s">
        <v>16</v>
      </c>
      <c r="D32" s="881" t="s">
        <v>3141</v>
      </c>
      <c r="E32" s="18" t="s">
        <v>3137</v>
      </c>
      <c r="F32" s="18" t="s">
        <v>3142</v>
      </c>
      <c r="G32" s="18" t="s">
        <v>3143</v>
      </c>
      <c r="H32" s="15" t="s">
        <v>21</v>
      </c>
      <c r="I32" s="15" t="s">
        <v>22</v>
      </c>
      <c r="J32" s="21" t="s">
        <v>23</v>
      </c>
      <c r="K32" s="21"/>
      <c r="L32" s="21"/>
      <c r="M32" s="21"/>
      <c r="N32" s="21"/>
      <c r="O32" s="15"/>
    </row>
    <row r="33" spans="1:16" ht="98">
      <c r="A33" s="15" t="s">
        <v>3144</v>
      </c>
      <c r="B33" s="882"/>
      <c r="C33" s="882" t="s">
        <v>16</v>
      </c>
      <c r="D33" s="15" t="s">
        <v>3145</v>
      </c>
      <c r="E33" s="18" t="s">
        <v>3137</v>
      </c>
      <c r="F33" s="18" t="s">
        <v>3146</v>
      </c>
      <c r="G33" s="18" t="s">
        <v>3147</v>
      </c>
      <c r="H33" s="15" t="s">
        <v>21</v>
      </c>
      <c r="I33" s="15" t="s">
        <v>22</v>
      </c>
      <c r="J33" s="21"/>
      <c r="K33" s="21" t="s">
        <v>23</v>
      </c>
      <c r="L33" s="21"/>
      <c r="M33" s="21"/>
      <c r="N33" s="21"/>
      <c r="O33" s="16"/>
      <c r="P33" s="162"/>
    </row>
    <row r="34" spans="1:16" ht="112">
      <c r="A34" s="15" t="s">
        <v>3148</v>
      </c>
      <c r="B34" s="882"/>
      <c r="C34" s="882" t="s">
        <v>16</v>
      </c>
      <c r="D34" s="15" t="s">
        <v>3149</v>
      </c>
      <c r="E34" s="18" t="s">
        <v>3150</v>
      </c>
      <c r="F34" s="18" t="s">
        <v>3151</v>
      </c>
      <c r="G34" s="18" t="s">
        <v>3152</v>
      </c>
      <c r="H34" s="15" t="s">
        <v>415</v>
      </c>
      <c r="I34" s="15" t="s">
        <v>22</v>
      </c>
      <c r="J34" s="21"/>
      <c r="K34" s="21"/>
      <c r="L34" s="21"/>
      <c r="M34" s="21" t="s">
        <v>23</v>
      </c>
      <c r="N34" s="21"/>
      <c r="O34" s="15" t="s">
        <v>3153</v>
      </c>
    </row>
    <row r="35" spans="1:16">
      <c r="B35" s="213"/>
      <c r="C35" s="213"/>
      <c r="D35" s="883"/>
      <c r="E35" s="884"/>
      <c r="F35" s="885"/>
      <c r="G35" s="885"/>
      <c r="H35" s="213"/>
      <c r="J35" s="586"/>
      <c r="K35" s="586"/>
      <c r="L35" s="586"/>
      <c r="M35" s="586"/>
      <c r="N35" s="586"/>
    </row>
  </sheetData>
  <mergeCells count="11">
    <mergeCell ref="A1:A2"/>
    <mergeCell ref="D1:D2"/>
    <mergeCell ref="E1:E2"/>
    <mergeCell ref="F1:F2"/>
    <mergeCell ref="G1:G2"/>
    <mergeCell ref="H1:H2"/>
    <mergeCell ref="I1:I2"/>
    <mergeCell ref="O1:O2"/>
    <mergeCell ref="B1:B2"/>
    <mergeCell ref="C1:C2"/>
    <mergeCell ref="J1:N1"/>
  </mergeCells>
  <phoneticPr fontId="106" type="noConversion"/>
  <dataValidations count="4">
    <dataValidation type="list" allowBlank="1" showInputMessage="1" showErrorMessage="1" sqref="M3:N35 J1:L1048576" xr:uid="{00000000-0002-0000-0900-000000000000}">
      <formula1>"NT,PASS,FAIL,BLOCK,"</formula1>
    </dataValidation>
    <dataValidation type="list" showInputMessage="1" showErrorMessage="1" sqref="C3:C34" xr:uid="{00000000-0002-0000-0900-000003000000}">
      <formula1>"Basicfunction,Cross-module,Pressure,Performance"</formula1>
    </dataValidation>
    <dataValidation type="list" showInputMessage="1" showErrorMessage="1" sqref="H3:H34" xr:uid="{00000000-0002-0000-0900-000004000000}">
      <formula1>"P0,P1,P2"</formula1>
    </dataValidation>
    <dataValidation type="list" showInputMessage="1" showErrorMessage="1" sqref="I3:I35" xr:uid="{00000000-0002-0000-0900-000005000000}">
      <formula1>"Yes,No"</formula1>
    </dataValidation>
  </dataValidation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W240"/>
  <sheetViews>
    <sheetView workbookViewId="0">
      <pane xSplit="1" ySplit="2" topLeftCell="B3" activePane="bottomRight" state="frozen"/>
      <selection pane="topRight"/>
      <selection pane="bottomLeft"/>
      <selection pane="bottomRight" activeCell="B3" sqref="B3"/>
    </sheetView>
  </sheetViews>
  <sheetFormatPr defaultRowHeight="14"/>
  <cols>
    <col min="1" max="1" width="27" style="35" customWidth="1"/>
    <col min="2" max="2" width="13.453125" style="35" customWidth="1"/>
    <col min="3" max="3" width="13.6328125" style="35" customWidth="1"/>
    <col min="4" max="4" width="39.26953125" style="35" customWidth="1"/>
    <col min="5" max="5" width="27" style="35" customWidth="1"/>
    <col min="6" max="6" width="44.6328125" style="35" customWidth="1"/>
    <col min="7" max="7" width="27.08984375" style="35" customWidth="1"/>
    <col min="8" max="9" width="13.90625" style="35" customWidth="1"/>
    <col min="10" max="19" width="15.6328125" style="35" customWidth="1"/>
    <col min="20" max="22" width="27.08984375" style="35" customWidth="1"/>
    <col min="23" max="23" width="26.7265625" style="35" customWidth="1"/>
  </cols>
  <sheetData>
    <row r="1" spans="1:23" ht="33" customHeight="1">
      <c r="A1" s="1026" t="s">
        <v>0</v>
      </c>
      <c r="B1" s="1012" t="s">
        <v>1</v>
      </c>
      <c r="C1" s="1027" t="s">
        <v>2</v>
      </c>
      <c r="D1" s="1028" t="s">
        <v>3</v>
      </c>
      <c r="E1" s="1029" t="s">
        <v>4</v>
      </c>
      <c r="F1" s="1021" t="s">
        <v>5</v>
      </c>
      <c r="G1" s="1021" t="s">
        <v>6</v>
      </c>
      <c r="H1" s="1021" t="s">
        <v>7</v>
      </c>
      <c r="I1" s="1021" t="s">
        <v>8</v>
      </c>
      <c r="J1" s="1023" t="s">
        <v>9</v>
      </c>
      <c r="K1" s="1024"/>
      <c r="L1" s="1024"/>
      <c r="M1" s="1025"/>
      <c r="N1" s="159"/>
      <c r="O1" s="159"/>
      <c r="P1" s="159"/>
      <c r="Q1" s="159"/>
      <c r="R1" s="159"/>
      <c r="S1" s="160"/>
      <c r="T1" s="161"/>
      <c r="U1" s="1020" t="s">
        <v>10</v>
      </c>
      <c r="V1" s="1018" t="s">
        <v>11</v>
      </c>
      <c r="W1" s="162"/>
    </row>
    <row r="2" spans="1:23" ht="45.75" customHeight="1">
      <c r="A2" s="1014"/>
      <c r="B2" s="997"/>
      <c r="C2" s="1014"/>
      <c r="D2" s="1003"/>
      <c r="E2" s="1003"/>
      <c r="F2" s="1022"/>
      <c r="G2" s="1022"/>
      <c r="H2" s="1022"/>
      <c r="I2" s="1022"/>
      <c r="J2" s="163" t="s">
        <v>298</v>
      </c>
      <c r="K2" s="164" t="s">
        <v>426</v>
      </c>
      <c r="L2" s="165" t="s">
        <v>427</v>
      </c>
      <c r="M2" s="1" t="s">
        <v>428</v>
      </c>
      <c r="N2" s="1" t="s">
        <v>429</v>
      </c>
      <c r="O2" s="1" t="s">
        <v>430</v>
      </c>
      <c r="P2" s="1" t="s">
        <v>431</v>
      </c>
      <c r="Q2" s="1" t="s">
        <v>14</v>
      </c>
      <c r="R2" s="1" t="s">
        <v>432</v>
      </c>
      <c r="S2" s="166" t="s">
        <v>3180</v>
      </c>
      <c r="T2" s="167" t="s">
        <v>433</v>
      </c>
      <c r="U2" s="984"/>
      <c r="V2" s="1019"/>
      <c r="W2" s="162"/>
    </row>
    <row r="3" spans="1:23" ht="56">
      <c r="A3" s="169" t="s">
        <v>434</v>
      </c>
      <c r="B3" s="170"/>
      <c r="C3" s="37" t="s">
        <v>16</v>
      </c>
      <c r="D3" s="171" t="s">
        <v>435</v>
      </c>
      <c r="E3" s="170" t="s">
        <v>436</v>
      </c>
      <c r="F3" s="172" t="s">
        <v>437</v>
      </c>
      <c r="G3" s="173" t="s">
        <v>438</v>
      </c>
      <c r="H3" s="174" t="s">
        <v>21</v>
      </c>
      <c r="I3" s="37" t="s">
        <v>22</v>
      </c>
      <c r="J3" s="84" t="s">
        <v>23</v>
      </c>
      <c r="K3" s="84"/>
      <c r="L3" s="76"/>
      <c r="M3" s="76"/>
      <c r="N3" s="175"/>
      <c r="O3" s="175"/>
      <c r="P3" s="175"/>
      <c r="Q3" s="175"/>
      <c r="R3" s="175"/>
      <c r="S3" s="176"/>
      <c r="T3" s="177"/>
      <c r="U3" s="178"/>
      <c r="V3" s="100"/>
      <c r="W3" s="179" t="s">
        <v>439</v>
      </c>
    </row>
    <row r="4" spans="1:23" ht="84">
      <c r="A4" s="180" t="s">
        <v>440</v>
      </c>
      <c r="B4" s="170"/>
      <c r="C4" s="37" t="s">
        <v>16</v>
      </c>
      <c r="D4" s="181" t="s">
        <v>441</v>
      </c>
      <c r="E4" s="182"/>
      <c r="F4" s="172" t="s">
        <v>442</v>
      </c>
      <c r="G4" s="172" t="s">
        <v>443</v>
      </c>
      <c r="H4" s="174" t="s">
        <v>21</v>
      </c>
      <c r="I4" s="37" t="s">
        <v>22</v>
      </c>
      <c r="J4" s="104" t="s">
        <v>23</v>
      </c>
      <c r="K4" s="76"/>
      <c r="L4" s="76"/>
      <c r="M4" s="76"/>
      <c r="N4" s="175"/>
      <c r="O4" s="175"/>
      <c r="P4" s="175"/>
      <c r="Q4" s="175"/>
      <c r="R4" s="175"/>
      <c r="S4" s="176"/>
      <c r="T4" s="177"/>
      <c r="U4" s="183"/>
      <c r="V4" s="59"/>
    </row>
    <row r="5" spans="1:23" ht="28">
      <c r="A5" s="180" t="s">
        <v>444</v>
      </c>
      <c r="B5" s="170"/>
      <c r="C5" s="37" t="s">
        <v>16</v>
      </c>
      <c r="D5" s="184" t="s">
        <v>445</v>
      </c>
      <c r="E5" s="185"/>
      <c r="F5" s="106" t="s">
        <v>446</v>
      </c>
      <c r="G5" s="59" t="s">
        <v>447</v>
      </c>
      <c r="H5" s="174" t="s">
        <v>21</v>
      </c>
      <c r="I5" s="37" t="s">
        <v>22</v>
      </c>
      <c r="J5" s="111" t="s">
        <v>23</v>
      </c>
      <c r="K5" s="84"/>
      <c r="L5" s="76"/>
      <c r="M5" s="76"/>
      <c r="N5" s="175"/>
      <c r="O5" s="175"/>
      <c r="P5" s="175"/>
      <c r="Q5" s="175"/>
      <c r="R5" s="175"/>
      <c r="S5" s="176"/>
      <c r="T5" s="177"/>
      <c r="U5" s="178"/>
      <c r="V5" s="100"/>
    </row>
    <row r="6" spans="1:23" ht="28">
      <c r="A6" s="186" t="s">
        <v>448</v>
      </c>
      <c r="B6" s="187"/>
      <c r="C6" s="80" t="s">
        <v>16</v>
      </c>
      <c r="D6" s="128" t="s">
        <v>449</v>
      </c>
      <c r="E6" s="127"/>
      <c r="F6" s="188" t="s">
        <v>450</v>
      </c>
      <c r="G6" s="59" t="s">
        <v>451</v>
      </c>
      <c r="H6" s="174" t="s">
        <v>21</v>
      </c>
      <c r="I6" s="37" t="s">
        <v>22</v>
      </c>
      <c r="J6" s="189"/>
      <c r="K6" s="84" t="s">
        <v>23</v>
      </c>
      <c r="L6" s="76"/>
      <c r="M6" s="76"/>
      <c r="N6" s="175"/>
      <c r="O6" s="175"/>
      <c r="P6" s="175"/>
      <c r="Q6" s="175"/>
      <c r="R6" s="175"/>
      <c r="S6" s="176"/>
      <c r="T6" s="177"/>
      <c r="U6" s="183"/>
      <c r="V6" s="59"/>
    </row>
    <row r="7" spans="1:23" ht="56">
      <c r="A7" s="180" t="s">
        <v>452</v>
      </c>
      <c r="B7" s="170"/>
      <c r="C7" s="37" t="s">
        <v>16</v>
      </c>
      <c r="D7" s="128" t="s">
        <v>453</v>
      </c>
      <c r="E7" s="185"/>
      <c r="F7" s="106" t="s">
        <v>454</v>
      </c>
      <c r="G7" s="106" t="s">
        <v>455</v>
      </c>
      <c r="H7" s="174" t="s">
        <v>21</v>
      </c>
      <c r="I7" s="37" t="s">
        <v>22</v>
      </c>
      <c r="J7" s="111" t="s">
        <v>23</v>
      </c>
      <c r="K7" s="84"/>
      <c r="L7" s="76"/>
      <c r="M7" s="76"/>
      <c r="N7" s="175"/>
      <c r="O7" s="175"/>
      <c r="P7" s="175"/>
      <c r="Q7" s="175"/>
      <c r="R7" s="175"/>
      <c r="S7" s="176"/>
      <c r="T7" s="177"/>
      <c r="U7" s="178"/>
      <c r="V7" s="100"/>
    </row>
    <row r="8" spans="1:23" ht="56">
      <c r="A8" s="190" t="s">
        <v>456</v>
      </c>
      <c r="B8" s="116"/>
      <c r="C8" s="37" t="s">
        <v>16</v>
      </c>
      <c r="D8" s="128" t="s">
        <v>457</v>
      </c>
      <c r="E8" s="191"/>
      <c r="F8" s="188" t="s">
        <v>454</v>
      </c>
      <c r="G8" s="192" t="s">
        <v>455</v>
      </c>
      <c r="H8" s="37" t="s">
        <v>21</v>
      </c>
      <c r="I8" s="37" t="s">
        <v>22</v>
      </c>
      <c r="J8" s="84" t="s">
        <v>23</v>
      </c>
      <c r="K8" s="84"/>
      <c r="L8" s="76"/>
      <c r="M8" s="76"/>
      <c r="N8" s="175"/>
      <c r="O8" s="175"/>
      <c r="P8" s="175"/>
      <c r="Q8" s="175"/>
      <c r="R8" s="175"/>
      <c r="S8" s="176"/>
      <c r="T8" s="177"/>
      <c r="U8" s="193"/>
      <c r="V8" s="100"/>
    </row>
    <row r="9" spans="1:23">
      <c r="A9" s="190" t="s">
        <v>458</v>
      </c>
      <c r="B9" s="116"/>
      <c r="C9" s="80" t="s">
        <v>16</v>
      </c>
      <c r="D9" s="128" t="s">
        <v>459</v>
      </c>
      <c r="E9" s="191"/>
      <c r="F9" s="59" t="s">
        <v>460</v>
      </c>
      <c r="G9" s="59" t="s">
        <v>461</v>
      </c>
      <c r="H9" s="174" t="s">
        <v>21</v>
      </c>
      <c r="I9" s="37" t="s">
        <v>22</v>
      </c>
      <c r="J9" s="84" t="s">
        <v>23</v>
      </c>
      <c r="K9" s="84"/>
      <c r="L9" s="76"/>
      <c r="M9" s="76"/>
      <c r="N9" s="175"/>
      <c r="O9" s="175"/>
      <c r="P9" s="175"/>
      <c r="Q9" s="175"/>
      <c r="R9" s="175"/>
      <c r="S9" s="176"/>
      <c r="T9" s="177"/>
      <c r="U9" s="193"/>
      <c r="V9" s="100"/>
    </row>
    <row r="10" spans="1:23" ht="56">
      <c r="A10" s="174" t="s">
        <v>462</v>
      </c>
      <c r="B10" s="170"/>
      <c r="C10" s="37" t="s">
        <v>16</v>
      </c>
      <c r="D10" s="170" t="s">
        <v>463</v>
      </c>
      <c r="E10" s="87"/>
      <c r="F10" s="172" t="s">
        <v>464</v>
      </c>
      <c r="G10" s="173" t="s">
        <v>465</v>
      </c>
      <c r="H10" s="174" t="s">
        <v>21</v>
      </c>
      <c r="I10" s="37" t="s">
        <v>22</v>
      </c>
      <c r="J10" s="111" t="s">
        <v>23</v>
      </c>
      <c r="K10" s="84"/>
      <c r="L10" s="76"/>
      <c r="M10" s="76"/>
      <c r="N10" s="175"/>
      <c r="O10" s="175"/>
      <c r="P10" s="175"/>
      <c r="Q10" s="175"/>
      <c r="R10" s="175"/>
      <c r="S10" s="176"/>
      <c r="T10" s="177"/>
      <c r="U10" s="178"/>
      <c r="V10" s="100"/>
    </row>
    <row r="11" spans="1:23" ht="56">
      <c r="A11" s="174" t="s">
        <v>466</v>
      </c>
      <c r="B11" s="170"/>
      <c r="C11" s="37" t="s">
        <v>16</v>
      </c>
      <c r="D11" s="170" t="s">
        <v>467</v>
      </c>
      <c r="E11" s="87"/>
      <c r="F11" s="172" t="s">
        <v>468</v>
      </c>
      <c r="G11" s="173" t="s">
        <v>469</v>
      </c>
      <c r="H11" s="174" t="s">
        <v>21</v>
      </c>
      <c r="I11" s="37" t="s">
        <v>22</v>
      </c>
      <c r="J11" s="111" t="s">
        <v>23</v>
      </c>
      <c r="K11" s="84"/>
      <c r="L11" s="76"/>
      <c r="M11" s="76"/>
      <c r="N11" s="175"/>
      <c r="O11" s="175"/>
      <c r="P11" s="175"/>
      <c r="Q11" s="175"/>
      <c r="R11" s="175"/>
      <c r="S11" s="176"/>
      <c r="T11" s="177"/>
      <c r="U11" s="178"/>
      <c r="V11" s="100"/>
    </row>
    <row r="12" spans="1:23" ht="140">
      <c r="A12" s="174" t="s">
        <v>470</v>
      </c>
      <c r="B12" s="170"/>
      <c r="C12" s="37" t="s">
        <v>16</v>
      </c>
      <c r="D12" s="170" t="s">
        <v>471</v>
      </c>
      <c r="E12" s="87"/>
      <c r="F12" s="172" t="s">
        <v>472</v>
      </c>
      <c r="G12" s="172" t="s">
        <v>473</v>
      </c>
      <c r="H12" s="174" t="s">
        <v>21</v>
      </c>
      <c r="I12" s="37" t="s">
        <v>22</v>
      </c>
      <c r="J12" s="111" t="s">
        <v>23</v>
      </c>
      <c r="K12" s="84"/>
      <c r="L12" s="76"/>
      <c r="M12" s="76"/>
      <c r="N12" s="175"/>
      <c r="O12" s="175"/>
      <c r="P12" s="175"/>
      <c r="Q12" s="175"/>
      <c r="R12" s="175"/>
      <c r="S12" s="176"/>
      <c r="T12" s="177"/>
      <c r="U12" s="183"/>
      <c r="V12" s="59"/>
    </row>
    <row r="13" spans="1:23" ht="140">
      <c r="A13" s="174" t="s">
        <v>474</v>
      </c>
      <c r="B13" s="170"/>
      <c r="C13" s="37" t="s">
        <v>16</v>
      </c>
      <c r="D13" s="170" t="s">
        <v>475</v>
      </c>
      <c r="E13" s="87"/>
      <c r="F13" s="172" t="s">
        <v>476</v>
      </c>
      <c r="G13" s="173" t="s">
        <v>477</v>
      </c>
      <c r="H13" s="174" t="s">
        <v>21</v>
      </c>
      <c r="I13" s="37" t="s">
        <v>22</v>
      </c>
      <c r="J13" s="104" t="s">
        <v>23</v>
      </c>
      <c r="K13" s="76"/>
      <c r="L13" s="76"/>
      <c r="M13" s="76"/>
      <c r="N13" s="194"/>
      <c r="O13" s="194"/>
      <c r="P13" s="194"/>
      <c r="Q13" s="194"/>
      <c r="R13" s="194"/>
      <c r="S13" s="195"/>
      <c r="T13" s="196"/>
      <c r="U13" s="197"/>
      <c r="V13" s="60"/>
    </row>
    <row r="14" spans="1:23" ht="106.5" customHeight="1">
      <c r="A14" s="37" t="s">
        <v>478</v>
      </c>
      <c r="B14" s="116"/>
      <c r="C14" s="37" t="s">
        <v>16</v>
      </c>
      <c r="D14" s="37" t="s">
        <v>479</v>
      </c>
      <c r="E14" s="37"/>
      <c r="F14" s="59" t="s">
        <v>480</v>
      </c>
      <c r="G14" s="59" t="s">
        <v>481</v>
      </c>
      <c r="H14" s="37"/>
      <c r="I14" s="37"/>
      <c r="J14" s="84" t="s">
        <v>64</v>
      </c>
      <c r="K14" s="84" t="s">
        <v>23</v>
      </c>
      <c r="L14" s="76"/>
      <c r="M14" s="198"/>
      <c r="N14" s="175"/>
      <c r="O14" s="175"/>
      <c r="P14" s="175"/>
      <c r="Q14" s="175"/>
      <c r="R14" s="175"/>
      <c r="S14" s="176"/>
      <c r="T14" s="199"/>
      <c r="U14" s="59" t="s">
        <v>3181</v>
      </c>
      <c r="V14" s="200" t="s">
        <v>3182</v>
      </c>
    </row>
    <row r="15" spans="1:23" ht="106.5" customHeight="1">
      <c r="A15" s="37" t="s">
        <v>482</v>
      </c>
      <c r="B15" s="116"/>
      <c r="C15" s="37" t="s">
        <v>16</v>
      </c>
      <c r="D15" s="37" t="s">
        <v>483</v>
      </c>
      <c r="E15" s="37"/>
      <c r="F15" s="59" t="s">
        <v>480</v>
      </c>
      <c r="G15" s="59" t="s">
        <v>481</v>
      </c>
      <c r="H15" s="37"/>
      <c r="I15" s="37"/>
      <c r="J15" s="84" t="s">
        <v>64</v>
      </c>
      <c r="K15" s="84" t="s">
        <v>23</v>
      </c>
      <c r="L15" s="76"/>
      <c r="M15" s="198"/>
      <c r="N15" s="175"/>
      <c r="O15" s="175"/>
      <c r="P15" s="175"/>
      <c r="Q15" s="175"/>
      <c r="R15" s="175"/>
      <c r="S15" s="176"/>
      <c r="T15" s="177"/>
      <c r="U15" s="59"/>
      <c r="V15" s="200" t="s">
        <v>3183</v>
      </c>
    </row>
    <row r="16" spans="1:23" ht="126">
      <c r="A16" s="201" t="s">
        <v>484</v>
      </c>
      <c r="B16" s="202"/>
      <c r="C16" s="201" t="s">
        <v>16</v>
      </c>
      <c r="D16" s="201" t="s">
        <v>485</v>
      </c>
      <c r="E16" s="201"/>
      <c r="F16" s="203" t="s">
        <v>486</v>
      </c>
      <c r="G16" s="203" t="s">
        <v>487</v>
      </c>
      <c r="H16" s="201" t="s">
        <v>21</v>
      </c>
      <c r="I16" s="201" t="s">
        <v>22</v>
      </c>
      <c r="J16" s="204"/>
      <c r="K16" s="204"/>
      <c r="L16" s="204"/>
      <c r="M16" s="204"/>
      <c r="N16" s="205"/>
      <c r="O16" s="205"/>
      <c r="P16" s="205"/>
      <c r="Q16" s="205"/>
      <c r="R16" s="205"/>
      <c r="S16" s="206" t="s">
        <v>64</v>
      </c>
      <c r="T16" s="207"/>
      <c r="U16" s="208" t="s">
        <v>488</v>
      </c>
      <c r="V16" s="209"/>
      <c r="W16" s="210"/>
    </row>
    <row r="17" spans="1:23" ht="56">
      <c r="A17" s="37" t="s">
        <v>489</v>
      </c>
      <c r="B17" s="116"/>
      <c r="C17" s="37" t="s">
        <v>16</v>
      </c>
      <c r="D17" s="59" t="s">
        <v>490</v>
      </c>
      <c r="E17" s="37"/>
      <c r="F17" s="59" t="s">
        <v>491</v>
      </c>
      <c r="G17" s="59" t="s">
        <v>492</v>
      </c>
      <c r="H17" s="37" t="s">
        <v>21</v>
      </c>
      <c r="I17" s="37" t="s">
        <v>22</v>
      </c>
      <c r="J17" s="84" t="s">
        <v>23</v>
      </c>
      <c r="K17" s="84"/>
      <c r="L17" s="76"/>
      <c r="M17" s="76"/>
      <c r="N17" s="175"/>
      <c r="O17" s="175"/>
      <c r="P17" s="175"/>
      <c r="Q17" s="175"/>
      <c r="R17" s="175"/>
      <c r="S17" s="176"/>
      <c r="T17" s="211"/>
      <c r="U17" s="212"/>
      <c r="V17" s="37"/>
      <c r="W17" s="213"/>
    </row>
    <row r="18" spans="1:23" ht="84">
      <c r="A18" s="214" t="s">
        <v>493</v>
      </c>
      <c r="B18" s="170"/>
      <c r="C18" s="37" t="s">
        <v>16</v>
      </c>
      <c r="D18" s="172" t="s">
        <v>494</v>
      </c>
      <c r="E18" s="87" t="s">
        <v>495</v>
      </c>
      <c r="F18" s="172" t="s">
        <v>496</v>
      </c>
      <c r="G18" s="172" t="s">
        <v>497</v>
      </c>
      <c r="H18" s="174" t="s">
        <v>21</v>
      </c>
      <c r="I18" s="37" t="s">
        <v>22</v>
      </c>
      <c r="J18" s="104" t="s">
        <v>23</v>
      </c>
      <c r="K18" s="76"/>
      <c r="L18" s="76"/>
      <c r="M18" s="76"/>
      <c r="N18" s="175"/>
      <c r="O18" s="175"/>
      <c r="P18" s="175"/>
      <c r="Q18" s="175"/>
      <c r="R18" s="175"/>
      <c r="S18" s="176"/>
      <c r="T18" s="211"/>
      <c r="U18" s="212"/>
      <c r="V18" s="37"/>
    </row>
    <row r="19" spans="1:23" ht="84">
      <c r="A19" s="215" t="s">
        <v>498</v>
      </c>
      <c r="B19" s="170"/>
      <c r="C19" s="37" t="s">
        <v>16</v>
      </c>
      <c r="D19" s="172" t="s">
        <v>499</v>
      </c>
      <c r="E19" s="87" t="s">
        <v>500</v>
      </c>
      <c r="F19" s="172" t="s">
        <v>501</v>
      </c>
      <c r="G19" s="172" t="s">
        <v>502</v>
      </c>
      <c r="H19" s="174" t="s">
        <v>21</v>
      </c>
      <c r="I19" s="37" t="s">
        <v>22</v>
      </c>
      <c r="J19" s="111" t="s">
        <v>23</v>
      </c>
      <c r="K19" s="84"/>
      <c r="L19" s="76"/>
      <c r="M19" s="76"/>
      <c r="N19" s="175"/>
      <c r="O19" s="175"/>
      <c r="P19" s="175"/>
      <c r="Q19" s="175"/>
      <c r="R19" s="175"/>
      <c r="S19" s="176"/>
      <c r="T19" s="211"/>
      <c r="U19" s="212"/>
      <c r="V19" s="37"/>
    </row>
    <row r="20" spans="1:23" ht="84">
      <c r="A20" s="216" t="s">
        <v>503</v>
      </c>
      <c r="B20" s="187"/>
      <c r="C20" s="37" t="s">
        <v>16</v>
      </c>
      <c r="D20" s="192" t="s">
        <v>504</v>
      </c>
      <c r="E20" s="59" t="s">
        <v>505</v>
      </c>
      <c r="F20" s="192" t="s">
        <v>506</v>
      </c>
      <c r="G20" s="192" t="s">
        <v>507</v>
      </c>
      <c r="H20" s="217" t="s">
        <v>21</v>
      </c>
      <c r="I20" s="217" t="s">
        <v>22</v>
      </c>
      <c r="J20" s="189"/>
      <c r="K20" s="84"/>
      <c r="L20" s="76"/>
      <c r="M20" s="76"/>
      <c r="N20" s="175"/>
      <c r="O20" s="175"/>
      <c r="P20" s="175"/>
      <c r="Q20" s="175"/>
      <c r="R20" s="175"/>
      <c r="S20" s="218" t="s">
        <v>23</v>
      </c>
      <c r="T20" s="207"/>
      <c r="U20" s="212" t="s">
        <v>508</v>
      </c>
      <c r="V20" s="37"/>
      <c r="W20" s="119"/>
    </row>
    <row r="21" spans="1:23" ht="84">
      <c r="A21" s="219" t="s">
        <v>509</v>
      </c>
      <c r="B21" s="170"/>
      <c r="C21" s="37" t="s">
        <v>16</v>
      </c>
      <c r="D21" s="172" t="s">
        <v>510</v>
      </c>
      <c r="E21" s="74" t="s">
        <v>511</v>
      </c>
      <c r="F21" s="172" t="s">
        <v>512</v>
      </c>
      <c r="G21" s="172" t="s">
        <v>513</v>
      </c>
      <c r="H21" s="174" t="s">
        <v>21</v>
      </c>
      <c r="I21" s="37" t="s">
        <v>22</v>
      </c>
      <c r="J21" s="111" t="s">
        <v>23</v>
      </c>
      <c r="K21" s="84"/>
      <c r="L21" s="76"/>
      <c r="M21" s="76"/>
      <c r="N21" s="175"/>
      <c r="O21" s="175"/>
      <c r="P21" s="175"/>
      <c r="Q21" s="175"/>
      <c r="R21" s="175"/>
      <c r="S21" s="176"/>
      <c r="T21" s="177"/>
      <c r="U21" s="220"/>
      <c r="V21" s="59"/>
    </row>
    <row r="22" spans="1:23" ht="70">
      <c r="A22" s="219" t="s">
        <v>514</v>
      </c>
      <c r="B22" s="170"/>
      <c r="C22" s="37" t="s">
        <v>16</v>
      </c>
      <c r="D22" s="172" t="s">
        <v>515</v>
      </c>
      <c r="E22" s="170" t="s">
        <v>516</v>
      </c>
      <c r="F22" s="172" t="s">
        <v>517</v>
      </c>
      <c r="G22" s="172" t="s">
        <v>518</v>
      </c>
      <c r="H22" s="174" t="s">
        <v>21</v>
      </c>
      <c r="I22" s="37" t="s">
        <v>22</v>
      </c>
      <c r="J22" s="111" t="s">
        <v>23</v>
      </c>
      <c r="K22" s="84"/>
      <c r="L22" s="76"/>
      <c r="M22" s="76"/>
      <c r="N22" s="175"/>
      <c r="O22" s="175"/>
      <c r="P22" s="175"/>
      <c r="Q22" s="175"/>
      <c r="R22" s="175"/>
      <c r="S22" s="176"/>
      <c r="T22" s="211"/>
      <c r="U22" s="212"/>
      <c r="V22" s="37"/>
    </row>
    <row r="23" spans="1:23" ht="84">
      <c r="A23" s="219" t="s">
        <v>519</v>
      </c>
      <c r="B23" s="170"/>
      <c r="C23" s="37" t="s">
        <v>16</v>
      </c>
      <c r="D23" s="221" t="s">
        <v>520</v>
      </c>
      <c r="E23" s="87"/>
      <c r="F23" s="192" t="s">
        <v>521</v>
      </c>
      <c r="G23" s="172" t="s">
        <v>522</v>
      </c>
      <c r="H23" s="174" t="s">
        <v>21</v>
      </c>
      <c r="I23" s="37" t="s">
        <v>22</v>
      </c>
      <c r="J23" s="111"/>
      <c r="K23" s="84"/>
      <c r="L23" s="76" t="s">
        <v>23</v>
      </c>
      <c r="M23" s="76"/>
      <c r="N23" s="175"/>
      <c r="O23" s="175"/>
      <c r="P23" s="175"/>
      <c r="Q23" s="175"/>
      <c r="R23" s="175"/>
      <c r="S23" s="176"/>
      <c r="T23" s="222"/>
      <c r="U23" s="223"/>
      <c r="V23" s="77"/>
    </row>
    <row r="24" spans="1:23" ht="84">
      <c r="A24" s="224" t="s">
        <v>523</v>
      </c>
      <c r="B24" s="187"/>
      <c r="C24" s="80" t="s">
        <v>16</v>
      </c>
      <c r="D24" s="172" t="s">
        <v>524</v>
      </c>
      <c r="E24" s="172"/>
      <c r="F24" s="172" t="s">
        <v>525</v>
      </c>
      <c r="G24" s="192" t="s">
        <v>526</v>
      </c>
      <c r="H24" s="174" t="s">
        <v>21</v>
      </c>
      <c r="I24" s="37" t="s">
        <v>22</v>
      </c>
      <c r="J24" s="225"/>
      <c r="K24" s="84"/>
      <c r="L24" s="76" t="s">
        <v>23</v>
      </c>
      <c r="M24" s="76"/>
      <c r="N24" s="175"/>
      <c r="O24" s="175"/>
      <c r="P24" s="175"/>
      <c r="Q24" s="175"/>
      <c r="R24" s="175"/>
      <c r="S24" s="176"/>
      <c r="T24" s="211"/>
      <c r="U24" s="212"/>
      <c r="V24" s="37"/>
    </row>
    <row r="25" spans="1:23" ht="84">
      <c r="A25" s="226" t="s">
        <v>527</v>
      </c>
      <c r="B25" s="170"/>
      <c r="C25" s="37" t="s">
        <v>16</v>
      </c>
      <c r="D25" s="172" t="s">
        <v>528</v>
      </c>
      <c r="E25" s="87"/>
      <c r="F25" s="106" t="s">
        <v>529</v>
      </c>
      <c r="G25" s="106" t="s">
        <v>530</v>
      </c>
      <c r="H25" s="174" t="s">
        <v>21</v>
      </c>
      <c r="I25" s="37" t="s">
        <v>531</v>
      </c>
      <c r="J25" s="111" t="s">
        <v>64</v>
      </c>
      <c r="K25" s="84"/>
      <c r="L25" s="76"/>
      <c r="M25" s="76"/>
      <c r="N25" s="175"/>
      <c r="O25" s="175"/>
      <c r="P25" s="175"/>
      <c r="Q25" s="175" t="s">
        <v>23</v>
      </c>
      <c r="R25" s="175"/>
      <c r="S25" s="176"/>
      <c r="T25" s="177"/>
      <c r="U25" s="59"/>
      <c r="V25" s="227" t="s">
        <v>3184</v>
      </c>
    </row>
    <row r="26" spans="1:23" ht="84">
      <c r="A26" s="215" t="s">
        <v>532</v>
      </c>
      <c r="B26" s="170"/>
      <c r="C26" s="37" t="s">
        <v>16</v>
      </c>
      <c r="D26" s="172" t="s">
        <v>533</v>
      </c>
      <c r="E26" s="87"/>
      <c r="F26" s="106" t="s">
        <v>534</v>
      </c>
      <c r="G26" s="106" t="s">
        <v>530</v>
      </c>
      <c r="H26" s="174" t="s">
        <v>21</v>
      </c>
      <c r="I26" s="37" t="s">
        <v>531</v>
      </c>
      <c r="J26" s="111" t="s">
        <v>64</v>
      </c>
      <c r="K26" s="84"/>
      <c r="L26" s="76"/>
      <c r="M26" s="76"/>
      <c r="N26" s="175"/>
      <c r="O26" s="175"/>
      <c r="P26" s="175"/>
      <c r="Q26" s="175" t="s">
        <v>64</v>
      </c>
      <c r="R26" s="175"/>
      <c r="S26" s="176"/>
      <c r="T26" s="177"/>
      <c r="U26" s="220" t="s">
        <v>535</v>
      </c>
      <c r="V26" s="227" t="s">
        <v>3185</v>
      </c>
    </row>
    <row r="27" spans="1:23" ht="84">
      <c r="A27" s="228" t="s">
        <v>536</v>
      </c>
      <c r="B27" s="116"/>
      <c r="C27" s="37" t="s">
        <v>16</v>
      </c>
      <c r="D27" s="59" t="s">
        <v>537</v>
      </c>
      <c r="E27" s="87"/>
      <c r="F27" s="100" t="s">
        <v>534</v>
      </c>
      <c r="G27" s="100" t="s">
        <v>530</v>
      </c>
      <c r="H27" s="37" t="s">
        <v>21</v>
      </c>
      <c r="I27" s="37" t="s">
        <v>531</v>
      </c>
      <c r="J27" s="84"/>
      <c r="K27" s="84"/>
      <c r="L27" s="76" t="s">
        <v>64</v>
      </c>
      <c r="M27" s="76"/>
      <c r="N27" s="175"/>
      <c r="O27" s="175"/>
      <c r="P27" s="175"/>
      <c r="Q27" s="175"/>
      <c r="R27" s="175"/>
      <c r="S27" s="176"/>
      <c r="T27" s="177"/>
      <c r="U27" s="220" t="s">
        <v>538</v>
      </c>
      <c r="V27" s="227" t="s">
        <v>3186</v>
      </c>
    </row>
    <row r="28" spans="1:23" ht="56">
      <c r="A28" s="215" t="s">
        <v>539</v>
      </c>
      <c r="B28" s="170"/>
      <c r="C28" s="37" t="s">
        <v>16</v>
      </c>
      <c r="D28" s="172" t="s">
        <v>540</v>
      </c>
      <c r="E28" s="87"/>
      <c r="F28" s="106" t="s">
        <v>541</v>
      </c>
      <c r="G28" s="106" t="s">
        <v>542</v>
      </c>
      <c r="H28" s="174" t="s">
        <v>21</v>
      </c>
      <c r="I28" s="37" t="s">
        <v>22</v>
      </c>
      <c r="J28" s="111"/>
      <c r="K28" s="84"/>
      <c r="L28" s="76" t="s">
        <v>23</v>
      </c>
      <c r="M28" s="76"/>
      <c r="N28" s="175"/>
      <c r="O28" s="175"/>
      <c r="P28" s="175"/>
      <c r="Q28" s="175"/>
      <c r="R28" s="175"/>
      <c r="S28" s="176"/>
      <c r="T28" s="177"/>
      <c r="U28" s="220"/>
      <c r="V28" s="59"/>
    </row>
    <row r="29" spans="1:23" ht="56">
      <c r="A29" s="215" t="s">
        <v>543</v>
      </c>
      <c r="B29" s="170"/>
      <c r="C29" s="37" t="s">
        <v>16</v>
      </c>
      <c r="D29" s="106" t="s">
        <v>544</v>
      </c>
      <c r="E29" s="87"/>
      <c r="F29" s="106" t="s">
        <v>545</v>
      </c>
      <c r="G29" s="106" t="s">
        <v>542</v>
      </c>
      <c r="H29" s="174" t="s">
        <v>21</v>
      </c>
      <c r="I29" s="37" t="s">
        <v>22</v>
      </c>
      <c r="J29" s="111"/>
      <c r="K29" s="84"/>
      <c r="L29" s="76" t="s">
        <v>64</v>
      </c>
      <c r="M29" s="76"/>
      <c r="N29" s="175"/>
      <c r="O29" s="175"/>
      <c r="P29" s="175"/>
      <c r="Q29" s="175"/>
      <c r="R29" s="175"/>
      <c r="S29" s="229"/>
      <c r="T29" s="230"/>
      <c r="U29" s="220"/>
      <c r="V29" s="231" t="s">
        <v>3187</v>
      </c>
    </row>
    <row r="30" spans="1:23" ht="140">
      <c r="A30" s="215" t="s">
        <v>546</v>
      </c>
      <c r="B30" s="170"/>
      <c r="C30" s="37" t="s">
        <v>16</v>
      </c>
      <c r="D30" s="232" t="s">
        <v>547</v>
      </c>
      <c r="E30" s="87" t="s">
        <v>548</v>
      </c>
      <c r="F30" s="106" t="s">
        <v>549</v>
      </c>
      <c r="G30" s="106" t="s">
        <v>550</v>
      </c>
      <c r="H30" s="174" t="s">
        <v>21</v>
      </c>
      <c r="I30" s="37" t="s">
        <v>22</v>
      </c>
      <c r="J30" s="111"/>
      <c r="K30" s="84"/>
      <c r="L30" s="76"/>
      <c r="M30" s="76"/>
      <c r="N30" s="175"/>
      <c r="O30" s="175"/>
      <c r="P30" s="175"/>
      <c r="Q30" s="175"/>
      <c r="R30" s="175"/>
      <c r="S30" s="176" t="s">
        <v>23</v>
      </c>
      <c r="T30" s="211"/>
      <c r="U30" s="212"/>
      <c r="V30" s="37"/>
    </row>
    <row r="31" spans="1:23" ht="82.5">
      <c r="A31" s="233" t="s">
        <v>551</v>
      </c>
      <c r="B31" s="115"/>
      <c r="C31" s="80" t="s">
        <v>16</v>
      </c>
      <c r="D31" s="83" t="s">
        <v>552</v>
      </c>
      <c r="E31" s="80" t="s">
        <v>553</v>
      </c>
      <c r="F31" s="83" t="s">
        <v>3188</v>
      </c>
      <c r="G31" s="83" t="s">
        <v>554</v>
      </c>
      <c r="H31" s="234" t="s">
        <v>21</v>
      </c>
      <c r="I31" s="80" t="s">
        <v>22</v>
      </c>
      <c r="J31" s="84"/>
      <c r="K31" s="84"/>
      <c r="L31" s="76"/>
      <c r="M31" s="76"/>
      <c r="N31" s="175"/>
      <c r="O31" s="175"/>
      <c r="P31" s="175"/>
      <c r="Q31" s="175"/>
      <c r="R31" s="175"/>
      <c r="S31" s="235" t="s">
        <v>64</v>
      </c>
      <c r="T31" s="236"/>
      <c r="U31" s="237"/>
      <c r="V31" s="238"/>
      <c r="W31" s="239"/>
    </row>
    <row r="32" spans="1:23" ht="56">
      <c r="A32" s="233" t="s">
        <v>555</v>
      </c>
      <c r="B32" s="116"/>
      <c r="C32" s="80" t="s">
        <v>16</v>
      </c>
      <c r="D32" s="100" t="s">
        <v>556</v>
      </c>
      <c r="E32" s="87"/>
      <c r="F32" s="59" t="s">
        <v>557</v>
      </c>
      <c r="G32" s="59" t="s">
        <v>558</v>
      </c>
      <c r="H32" s="174" t="s">
        <v>21</v>
      </c>
      <c r="I32" s="37" t="s">
        <v>22</v>
      </c>
      <c r="J32" s="84"/>
      <c r="K32" s="84"/>
      <c r="L32" s="76"/>
      <c r="M32" s="76" t="s">
        <v>64</v>
      </c>
      <c r="N32" s="175"/>
      <c r="O32" s="175"/>
      <c r="P32" s="175"/>
      <c r="Q32" s="175"/>
      <c r="R32" s="175"/>
      <c r="S32" s="240"/>
      <c r="T32" s="241"/>
      <c r="U32" s="223"/>
      <c r="V32" s="231" t="s">
        <v>3189</v>
      </c>
    </row>
    <row r="33" spans="1:23" ht="56">
      <c r="A33" s="233" t="s">
        <v>559</v>
      </c>
      <c r="B33" s="116"/>
      <c r="C33" s="80" t="s">
        <v>16</v>
      </c>
      <c r="D33" s="173" t="s">
        <v>560</v>
      </c>
      <c r="E33" s="87"/>
      <c r="F33" s="59" t="s">
        <v>561</v>
      </c>
      <c r="G33" s="59" t="s">
        <v>562</v>
      </c>
      <c r="H33" s="174" t="s">
        <v>21</v>
      </c>
      <c r="I33" s="37" t="s">
        <v>22</v>
      </c>
      <c r="J33" s="84"/>
      <c r="K33" s="84"/>
      <c r="L33" s="76"/>
      <c r="M33" s="76" t="s">
        <v>64</v>
      </c>
      <c r="N33" s="175"/>
      <c r="O33" s="175"/>
      <c r="P33" s="175"/>
      <c r="Q33" s="175"/>
      <c r="R33" s="175"/>
      <c r="S33" s="240"/>
      <c r="T33" s="241"/>
      <c r="U33" s="220"/>
      <c r="V33" s="227" t="s">
        <v>3190</v>
      </c>
      <c r="W33" s="242"/>
    </row>
    <row r="34" spans="1:23" ht="56">
      <c r="A34" s="233" t="s">
        <v>563</v>
      </c>
      <c r="B34" s="116"/>
      <c r="C34" s="80" t="s">
        <v>16</v>
      </c>
      <c r="D34" s="173" t="s">
        <v>564</v>
      </c>
      <c r="E34" s="87"/>
      <c r="F34" s="59" t="s">
        <v>565</v>
      </c>
      <c r="G34" s="59" t="s">
        <v>566</v>
      </c>
      <c r="H34" s="174" t="s">
        <v>21</v>
      </c>
      <c r="I34" s="37" t="s">
        <v>22</v>
      </c>
      <c r="J34" s="84"/>
      <c r="K34" s="84"/>
      <c r="L34" s="76"/>
      <c r="M34" s="76" t="s">
        <v>64</v>
      </c>
      <c r="N34" s="175"/>
      <c r="O34" s="175"/>
      <c r="P34" s="175"/>
      <c r="Q34" s="175"/>
      <c r="R34" s="175"/>
      <c r="S34" s="240"/>
      <c r="T34" s="241"/>
      <c r="U34" s="220" t="s">
        <v>567</v>
      </c>
      <c r="V34" s="231" t="s">
        <v>3191</v>
      </c>
      <c r="W34" s="87"/>
    </row>
    <row r="35" spans="1:23" ht="56">
      <c r="A35" s="228" t="s">
        <v>568</v>
      </c>
      <c r="B35" s="116"/>
      <c r="C35" s="37" t="s">
        <v>16</v>
      </c>
      <c r="D35" s="59" t="s">
        <v>569</v>
      </c>
      <c r="E35" s="87"/>
      <c r="F35" s="59" t="s">
        <v>570</v>
      </c>
      <c r="G35" s="59" t="s">
        <v>562</v>
      </c>
      <c r="H35" s="37" t="s">
        <v>21</v>
      </c>
      <c r="I35" s="37" t="s">
        <v>22</v>
      </c>
      <c r="J35" s="84"/>
      <c r="K35" s="84"/>
      <c r="L35" s="76"/>
      <c r="M35" s="76" t="s">
        <v>64</v>
      </c>
      <c r="N35" s="175"/>
      <c r="O35" s="175"/>
      <c r="P35" s="175"/>
      <c r="Q35" s="175"/>
      <c r="R35" s="175"/>
      <c r="S35" s="240"/>
      <c r="T35" s="241"/>
      <c r="U35" s="220"/>
      <c r="V35" s="231" t="s">
        <v>3192</v>
      </c>
      <c r="W35" s="242"/>
    </row>
    <row r="36" spans="1:23" ht="56">
      <c r="A36" s="228" t="s">
        <v>571</v>
      </c>
      <c r="B36" s="116"/>
      <c r="C36" s="37" t="s">
        <v>16</v>
      </c>
      <c r="D36" s="59" t="s">
        <v>572</v>
      </c>
      <c r="E36" s="87"/>
      <c r="F36" s="59" t="s">
        <v>573</v>
      </c>
      <c r="G36" s="59" t="s">
        <v>566</v>
      </c>
      <c r="H36" s="37" t="s">
        <v>21</v>
      </c>
      <c r="I36" s="37" t="s">
        <v>22</v>
      </c>
      <c r="J36" s="84"/>
      <c r="K36" s="84"/>
      <c r="L36" s="76"/>
      <c r="M36" s="76" t="s">
        <v>64</v>
      </c>
      <c r="N36" s="175"/>
      <c r="O36" s="175"/>
      <c r="P36" s="175"/>
      <c r="Q36" s="175"/>
      <c r="R36" s="175"/>
      <c r="S36" s="240"/>
      <c r="T36" s="241"/>
      <c r="U36" s="220"/>
      <c r="V36" s="231" t="s">
        <v>3193</v>
      </c>
      <c r="W36" s="87"/>
    </row>
    <row r="37" spans="1:23" ht="140">
      <c r="A37" s="219" t="s">
        <v>574</v>
      </c>
      <c r="B37" s="170"/>
      <c r="C37" s="37" t="s">
        <v>16</v>
      </c>
      <c r="D37" s="172" t="s">
        <v>575</v>
      </c>
      <c r="E37" s="87"/>
      <c r="F37" s="172" t="s">
        <v>576</v>
      </c>
      <c r="G37" s="172" t="s">
        <v>577</v>
      </c>
      <c r="H37" s="174" t="s">
        <v>21</v>
      </c>
      <c r="I37" s="37" t="s">
        <v>22</v>
      </c>
      <c r="J37" s="111"/>
      <c r="K37" s="84" t="s">
        <v>23</v>
      </c>
      <c r="L37" s="76"/>
      <c r="M37" s="76"/>
      <c r="N37" s="175"/>
      <c r="O37" s="175"/>
      <c r="P37" s="175"/>
      <c r="Q37" s="175"/>
      <c r="R37" s="175"/>
      <c r="S37" s="240"/>
      <c r="T37" s="241"/>
      <c r="U37" s="212"/>
      <c r="V37" s="212"/>
      <c r="W37" s="242"/>
    </row>
    <row r="38" spans="1:23" ht="140">
      <c r="A38" s="219" t="s">
        <v>578</v>
      </c>
      <c r="B38" s="170"/>
      <c r="C38" s="37" t="s">
        <v>16</v>
      </c>
      <c r="D38" s="172" t="s">
        <v>579</v>
      </c>
      <c r="E38" s="87"/>
      <c r="F38" s="172" t="s">
        <v>580</v>
      </c>
      <c r="G38" s="172" t="s">
        <v>577</v>
      </c>
      <c r="H38" s="174" t="s">
        <v>21</v>
      </c>
      <c r="I38" s="37" t="s">
        <v>22</v>
      </c>
      <c r="J38" s="111"/>
      <c r="K38" s="84" t="s">
        <v>23</v>
      </c>
      <c r="L38" s="76"/>
      <c r="M38" s="76"/>
      <c r="N38" s="175"/>
      <c r="O38" s="175"/>
      <c r="P38" s="175"/>
      <c r="Q38" s="175"/>
      <c r="R38" s="175"/>
      <c r="S38" s="240"/>
      <c r="T38" s="241"/>
      <c r="U38" s="212"/>
      <c r="V38" s="37"/>
      <c r="W38" s="243"/>
    </row>
    <row r="39" spans="1:23" ht="140">
      <c r="A39" s="244" t="s">
        <v>581</v>
      </c>
      <c r="B39" s="170"/>
      <c r="C39" s="37" t="s">
        <v>16</v>
      </c>
      <c r="D39" s="172" t="s">
        <v>582</v>
      </c>
      <c r="E39" s="87"/>
      <c r="F39" s="106" t="s">
        <v>583</v>
      </c>
      <c r="G39" s="172" t="s">
        <v>577</v>
      </c>
      <c r="H39" s="174" t="s">
        <v>21</v>
      </c>
      <c r="I39" s="37" t="s">
        <v>22</v>
      </c>
      <c r="J39" s="104"/>
      <c r="K39" s="76" t="s">
        <v>23</v>
      </c>
      <c r="L39" s="76"/>
      <c r="M39" s="76"/>
      <c r="N39" s="175"/>
      <c r="O39" s="175"/>
      <c r="P39" s="175"/>
      <c r="Q39" s="175"/>
      <c r="R39" s="175"/>
      <c r="S39" s="176"/>
      <c r="T39" s="177"/>
      <c r="U39" s="220" t="s">
        <v>584</v>
      </c>
      <c r="V39" s="59"/>
      <c r="W39" s="243"/>
    </row>
    <row r="40" spans="1:23" ht="140">
      <c r="A40" s="245" t="s">
        <v>585</v>
      </c>
      <c r="B40" s="187"/>
      <c r="C40" s="80" t="s">
        <v>16</v>
      </c>
      <c r="D40" s="192" t="s">
        <v>586</v>
      </c>
      <c r="E40" s="37"/>
      <c r="F40" s="192" t="s">
        <v>587</v>
      </c>
      <c r="G40" s="192" t="s">
        <v>577</v>
      </c>
      <c r="H40" s="174" t="s">
        <v>21</v>
      </c>
      <c r="I40" s="37" t="s">
        <v>22</v>
      </c>
      <c r="J40" s="189"/>
      <c r="K40" s="84" t="s">
        <v>23</v>
      </c>
      <c r="L40" s="76"/>
      <c r="M40" s="76"/>
      <c r="N40" s="175"/>
      <c r="O40" s="175"/>
      <c r="P40" s="175"/>
      <c r="Q40" s="175"/>
      <c r="R40" s="175"/>
      <c r="S40" s="176"/>
      <c r="T40" s="177"/>
      <c r="U40" s="220" t="s">
        <v>588</v>
      </c>
      <c r="V40" s="59"/>
      <c r="W40" s="243"/>
    </row>
    <row r="41" spans="1:23" ht="140">
      <c r="A41" s="246" t="s">
        <v>589</v>
      </c>
      <c r="B41" s="170"/>
      <c r="C41" s="37" t="s">
        <v>16</v>
      </c>
      <c r="D41" s="172" t="s">
        <v>590</v>
      </c>
      <c r="E41" s="87"/>
      <c r="F41" s="172" t="s">
        <v>591</v>
      </c>
      <c r="G41" s="172" t="s">
        <v>577</v>
      </c>
      <c r="H41" s="174" t="s">
        <v>21</v>
      </c>
      <c r="I41" s="37" t="s">
        <v>22</v>
      </c>
      <c r="J41" s="111"/>
      <c r="K41" s="84" t="s">
        <v>23</v>
      </c>
      <c r="L41" s="76"/>
      <c r="M41" s="76"/>
      <c r="N41" s="175"/>
      <c r="O41" s="175"/>
      <c r="P41" s="175"/>
      <c r="Q41" s="175"/>
      <c r="R41" s="175"/>
      <c r="S41" s="176"/>
      <c r="T41" s="177"/>
      <c r="U41" s="220" t="s">
        <v>592</v>
      </c>
      <c r="V41" s="59"/>
      <c r="W41" s="243"/>
    </row>
    <row r="42" spans="1:23" ht="70">
      <c r="A42" s="215" t="s">
        <v>593</v>
      </c>
      <c r="B42" s="170"/>
      <c r="C42" s="37" t="s">
        <v>16</v>
      </c>
      <c r="D42" s="170" t="s">
        <v>594</v>
      </c>
      <c r="E42" s="174"/>
      <c r="F42" s="172" t="s">
        <v>595</v>
      </c>
      <c r="G42" s="74"/>
      <c r="H42" s="174" t="s">
        <v>21</v>
      </c>
      <c r="I42" s="174" t="s">
        <v>22</v>
      </c>
      <c r="J42" s="111"/>
      <c r="K42" s="84" t="s">
        <v>23</v>
      </c>
      <c r="L42" s="76"/>
      <c r="M42" s="76"/>
      <c r="N42" s="175"/>
      <c r="O42" s="175"/>
      <c r="P42" s="175"/>
      <c r="Q42" s="175"/>
      <c r="R42" s="175"/>
      <c r="S42" s="176"/>
      <c r="T42" s="211"/>
      <c r="U42" s="247"/>
      <c r="V42" s="37"/>
      <c r="W42" s="243"/>
    </row>
    <row r="43" spans="1:23" ht="70">
      <c r="A43" s="214" t="s">
        <v>596</v>
      </c>
      <c r="B43" s="170"/>
      <c r="C43" s="37" t="s">
        <v>16</v>
      </c>
      <c r="D43" s="248" t="s">
        <v>597</v>
      </c>
      <c r="E43" s="182"/>
      <c r="F43" s="172" t="s">
        <v>598</v>
      </c>
      <c r="G43" s="74"/>
      <c r="H43" s="174" t="s">
        <v>21</v>
      </c>
      <c r="I43" s="249" t="s">
        <v>22</v>
      </c>
      <c r="J43" s="111"/>
      <c r="K43" s="84" t="s">
        <v>23</v>
      </c>
      <c r="L43" s="76"/>
      <c r="M43" s="126"/>
      <c r="N43" s="250"/>
      <c r="O43" s="250"/>
      <c r="P43" s="250"/>
      <c r="Q43" s="250"/>
      <c r="R43" s="250"/>
      <c r="S43" s="251"/>
      <c r="T43" s="252"/>
      <c r="U43" s="253"/>
      <c r="V43" s="37"/>
      <c r="W43" s="243"/>
    </row>
    <row r="44" spans="1:23" ht="98">
      <c r="A44" s="215" t="s">
        <v>599</v>
      </c>
      <c r="B44" s="87"/>
      <c r="C44" s="37" t="s">
        <v>16</v>
      </c>
      <c r="D44" s="170" t="s">
        <v>600</v>
      </c>
      <c r="E44" s="254" t="s">
        <v>601</v>
      </c>
      <c r="F44" s="255" t="s">
        <v>602</v>
      </c>
      <c r="G44" s="255" t="s">
        <v>603</v>
      </c>
      <c r="H44" s="174" t="s">
        <v>21</v>
      </c>
      <c r="I44" s="256" t="s">
        <v>22</v>
      </c>
      <c r="J44" s="111" t="s">
        <v>23</v>
      </c>
      <c r="K44" s="84"/>
      <c r="L44" s="76"/>
      <c r="M44" s="76"/>
      <c r="N44" s="175"/>
      <c r="O44" s="175"/>
      <c r="P44" s="175"/>
      <c r="Q44" s="175"/>
      <c r="R44" s="175"/>
      <c r="S44" s="176"/>
      <c r="T44" s="211"/>
      <c r="U44" s="212"/>
      <c r="V44" s="37"/>
      <c r="W44" s="243"/>
    </row>
    <row r="45" spans="1:23" ht="126">
      <c r="A45" s="215" t="s">
        <v>604</v>
      </c>
      <c r="B45" s="109"/>
      <c r="C45" s="37" t="s">
        <v>16</v>
      </c>
      <c r="D45" s="257" t="s">
        <v>605</v>
      </c>
      <c r="E45" s="254" t="s">
        <v>606</v>
      </c>
      <c r="F45" s="258" t="s">
        <v>607</v>
      </c>
      <c r="G45" s="248" t="s">
        <v>608</v>
      </c>
      <c r="H45" s="174" t="s">
        <v>21</v>
      </c>
      <c r="I45" s="259" t="s">
        <v>22</v>
      </c>
      <c r="J45" s="104" t="s">
        <v>23</v>
      </c>
      <c r="K45" s="76"/>
      <c r="L45" s="76"/>
      <c r="M45" s="76"/>
      <c r="N45" s="175"/>
      <c r="O45" s="175"/>
      <c r="P45" s="175"/>
      <c r="Q45" s="175"/>
      <c r="R45" s="175"/>
      <c r="S45" s="176"/>
      <c r="T45" s="211"/>
      <c r="U45" s="260"/>
      <c r="V45" s="118"/>
      <c r="W45" s="243"/>
    </row>
    <row r="46" spans="1:23" ht="112">
      <c r="A46" s="215" t="s">
        <v>609</v>
      </c>
      <c r="B46" s="98"/>
      <c r="C46" s="37" t="s">
        <v>16</v>
      </c>
      <c r="D46" s="172" t="s">
        <v>610</v>
      </c>
      <c r="E46" s="254" t="s">
        <v>606</v>
      </c>
      <c r="F46" s="106" t="s">
        <v>611</v>
      </c>
      <c r="G46" s="184" t="s">
        <v>612</v>
      </c>
      <c r="H46" s="174" t="s">
        <v>21</v>
      </c>
      <c r="I46" s="256" t="s">
        <v>22</v>
      </c>
      <c r="J46" s="111" t="s">
        <v>23</v>
      </c>
      <c r="K46" s="84"/>
      <c r="L46" s="76"/>
      <c r="M46" s="76"/>
      <c r="N46" s="175"/>
      <c r="O46" s="175"/>
      <c r="P46" s="175"/>
      <c r="Q46" s="175"/>
      <c r="R46" s="175"/>
      <c r="S46" s="176"/>
      <c r="T46" s="211"/>
      <c r="U46" s="261"/>
      <c r="V46" s="37"/>
      <c r="W46" s="243"/>
    </row>
    <row r="47" spans="1:23" ht="98">
      <c r="A47" s="262" t="s">
        <v>613</v>
      </c>
      <c r="B47" s="75"/>
      <c r="C47" s="75" t="s">
        <v>16</v>
      </c>
      <c r="D47" s="263" t="s">
        <v>614</v>
      </c>
      <c r="E47" s="264" t="s">
        <v>606</v>
      </c>
      <c r="F47" s="265" t="s">
        <v>615</v>
      </c>
      <c r="G47" s="266"/>
      <c r="H47" s="75"/>
      <c r="I47" s="267"/>
      <c r="J47" s="268"/>
      <c r="K47" s="269"/>
      <c r="L47" s="269"/>
      <c r="M47" s="269"/>
      <c r="N47" s="270"/>
      <c r="O47" s="270"/>
      <c r="P47" s="270"/>
      <c r="Q47" s="270"/>
      <c r="R47" s="270"/>
      <c r="S47" s="176" t="s">
        <v>64</v>
      </c>
      <c r="T47" s="177"/>
      <c r="U47" s="271" t="s">
        <v>616</v>
      </c>
      <c r="V47" s="75"/>
      <c r="W47" s="272"/>
    </row>
    <row r="48" spans="1:23" ht="98">
      <c r="A48" s="273" t="s">
        <v>617</v>
      </c>
      <c r="B48" s="75"/>
      <c r="C48" s="75" t="s">
        <v>16</v>
      </c>
      <c r="D48" s="263" t="s">
        <v>618</v>
      </c>
      <c r="E48" s="264" t="s">
        <v>606</v>
      </c>
      <c r="F48" s="265" t="s">
        <v>3194</v>
      </c>
      <c r="G48" s="266"/>
      <c r="H48" s="75"/>
      <c r="I48" s="267"/>
      <c r="J48" s="269" t="s">
        <v>23</v>
      </c>
      <c r="K48" s="269"/>
      <c r="L48" s="269"/>
      <c r="M48" s="269"/>
      <c r="N48" s="270"/>
      <c r="O48" s="270"/>
      <c r="P48" s="270"/>
      <c r="Q48" s="270"/>
      <c r="R48" s="270"/>
      <c r="S48" s="176"/>
      <c r="T48" s="211"/>
      <c r="U48" s="271"/>
      <c r="V48" s="75"/>
      <c r="W48" s="272"/>
    </row>
    <row r="49" spans="1:23" ht="112.5" customHeight="1">
      <c r="A49" s="274" t="s">
        <v>619</v>
      </c>
      <c r="B49" s="87"/>
      <c r="C49" s="37" t="s">
        <v>16</v>
      </c>
      <c r="D49" s="275" t="s">
        <v>620</v>
      </c>
      <c r="E49" s="171" t="s">
        <v>621</v>
      </c>
      <c r="F49" s="276" t="s">
        <v>622</v>
      </c>
      <c r="G49" s="255" t="s">
        <v>623</v>
      </c>
      <c r="H49" s="174" t="s">
        <v>21</v>
      </c>
      <c r="I49" s="256" t="s">
        <v>22</v>
      </c>
      <c r="J49" s="111"/>
      <c r="K49" s="84"/>
      <c r="L49" s="76"/>
      <c r="M49" s="76"/>
      <c r="N49" s="175"/>
      <c r="O49" s="175"/>
      <c r="P49" s="175"/>
      <c r="Q49" s="175"/>
      <c r="R49" s="175"/>
      <c r="S49" s="176" t="s">
        <v>23</v>
      </c>
      <c r="T49" s="177"/>
      <c r="U49" s="220"/>
      <c r="V49" s="59"/>
      <c r="W49" s="243"/>
    </row>
    <row r="50" spans="1:23" ht="84">
      <c r="A50" s="274" t="s">
        <v>624</v>
      </c>
      <c r="B50" s="87"/>
      <c r="C50" s="37" t="s">
        <v>16</v>
      </c>
      <c r="D50" s="275" t="s">
        <v>625</v>
      </c>
      <c r="E50" s="214" t="s">
        <v>626</v>
      </c>
      <c r="F50" s="184" t="s">
        <v>627</v>
      </c>
      <c r="G50" s="277" t="s">
        <v>623</v>
      </c>
      <c r="H50" s="174" t="s">
        <v>21</v>
      </c>
      <c r="I50" s="256" t="s">
        <v>22</v>
      </c>
      <c r="J50" s="111"/>
      <c r="K50" s="84"/>
      <c r="L50" s="76"/>
      <c r="M50" s="76"/>
      <c r="N50" s="175"/>
      <c r="O50" s="175"/>
      <c r="P50" s="175"/>
      <c r="Q50" s="175"/>
      <c r="R50" s="175"/>
      <c r="S50" s="176" t="s">
        <v>23</v>
      </c>
      <c r="T50" s="177"/>
      <c r="U50" s="212"/>
      <c r="V50" s="37"/>
      <c r="W50" s="243"/>
    </row>
    <row r="51" spans="1:23" ht="56">
      <c r="A51" s="278" t="s">
        <v>628</v>
      </c>
      <c r="B51" s="37"/>
      <c r="C51" s="37" t="s">
        <v>16</v>
      </c>
      <c r="D51" s="279" t="s">
        <v>629</v>
      </c>
      <c r="E51" s="280" t="s">
        <v>630</v>
      </c>
      <c r="F51" s="281" t="s">
        <v>631</v>
      </c>
      <c r="G51" s="281" t="s">
        <v>632</v>
      </c>
      <c r="H51" s="282" t="s">
        <v>21</v>
      </c>
      <c r="I51" s="283" t="s">
        <v>22</v>
      </c>
      <c r="J51" s="225"/>
      <c r="K51" s="76"/>
      <c r="L51" s="76"/>
      <c r="M51" s="76"/>
      <c r="N51" s="175"/>
      <c r="O51" s="175"/>
      <c r="P51" s="175"/>
      <c r="Q51" s="175"/>
      <c r="R51" s="175"/>
      <c r="S51" s="176" t="s">
        <v>64</v>
      </c>
      <c r="T51" s="211" t="s">
        <v>633</v>
      </c>
      <c r="U51" s="284"/>
      <c r="V51" s="238"/>
      <c r="W51" s="285"/>
    </row>
    <row r="52" spans="1:23" ht="66" customHeight="1">
      <c r="A52" s="274" t="s">
        <v>634</v>
      </c>
      <c r="B52" s="87"/>
      <c r="C52" s="37" t="s">
        <v>16</v>
      </c>
      <c r="D52" s="286" t="s">
        <v>635</v>
      </c>
      <c r="E52" s="287" t="s">
        <v>636</v>
      </c>
      <c r="F52" s="277" t="s">
        <v>637</v>
      </c>
      <c r="G52" s="277" t="s">
        <v>632</v>
      </c>
      <c r="H52" s="174" t="s">
        <v>21</v>
      </c>
      <c r="I52" s="288" t="s">
        <v>531</v>
      </c>
      <c r="J52" s="111"/>
      <c r="K52" s="84"/>
      <c r="L52" s="76"/>
      <c r="M52" s="76"/>
      <c r="N52" s="175"/>
      <c r="O52" s="175"/>
      <c r="P52" s="175"/>
      <c r="Q52" s="175"/>
      <c r="R52" s="175"/>
      <c r="S52" s="176" t="s">
        <v>23</v>
      </c>
      <c r="T52" s="211"/>
      <c r="U52" s="212"/>
      <c r="V52" s="37"/>
      <c r="W52" s="243"/>
    </row>
    <row r="53" spans="1:23" ht="98">
      <c r="A53" s="274" t="s">
        <v>638</v>
      </c>
      <c r="B53" s="87"/>
      <c r="C53" s="37" t="s">
        <v>16</v>
      </c>
      <c r="D53" s="275" t="s">
        <v>639</v>
      </c>
      <c r="E53" s="214" t="s">
        <v>640</v>
      </c>
      <c r="F53" s="277" t="s">
        <v>641</v>
      </c>
      <c r="G53" s="277" t="s">
        <v>642</v>
      </c>
      <c r="H53" s="174" t="s">
        <v>21</v>
      </c>
      <c r="I53" s="288" t="s">
        <v>22</v>
      </c>
      <c r="J53" s="111"/>
      <c r="K53" s="84"/>
      <c r="L53" s="76"/>
      <c r="M53" s="76"/>
      <c r="N53" s="175"/>
      <c r="O53" s="175"/>
      <c r="P53" s="175"/>
      <c r="Q53" s="175"/>
      <c r="R53" s="175"/>
      <c r="S53" s="176" t="s">
        <v>23</v>
      </c>
      <c r="T53" s="211"/>
      <c r="U53" s="212"/>
      <c r="V53" s="37"/>
      <c r="W53" s="243"/>
    </row>
    <row r="54" spans="1:23" ht="84">
      <c r="A54" s="278" t="s">
        <v>643</v>
      </c>
      <c r="B54" s="37"/>
      <c r="C54" s="37" t="s">
        <v>16</v>
      </c>
      <c r="D54" s="279" t="s">
        <v>644</v>
      </c>
      <c r="E54" s="216" t="s">
        <v>626</v>
      </c>
      <c r="F54" s="281" t="s">
        <v>645</v>
      </c>
      <c r="G54" s="281" t="s">
        <v>646</v>
      </c>
      <c r="H54" s="217" t="s">
        <v>21</v>
      </c>
      <c r="I54" s="37" t="s">
        <v>22</v>
      </c>
      <c r="J54" s="189"/>
      <c r="K54" s="84"/>
      <c r="L54" s="76"/>
      <c r="M54" s="76"/>
      <c r="N54" s="175"/>
      <c r="O54" s="175"/>
      <c r="P54" s="175"/>
      <c r="Q54" s="175"/>
      <c r="R54" s="175"/>
      <c r="S54" s="176" t="s">
        <v>64</v>
      </c>
      <c r="T54" s="236" t="s">
        <v>633</v>
      </c>
      <c r="U54" s="284"/>
      <c r="V54" s="238"/>
      <c r="W54" s="285"/>
    </row>
    <row r="55" spans="1:23" ht="84">
      <c r="A55" s="289" t="s">
        <v>647</v>
      </c>
      <c r="B55" s="87"/>
      <c r="C55" s="37" t="s">
        <v>16</v>
      </c>
      <c r="D55" s="275" t="s">
        <v>648</v>
      </c>
      <c r="E55" s="287" t="s">
        <v>649</v>
      </c>
      <c r="F55" s="184" t="s">
        <v>650</v>
      </c>
      <c r="G55" s="277" t="s">
        <v>651</v>
      </c>
      <c r="H55" s="174" t="s">
        <v>21</v>
      </c>
      <c r="I55" s="288" t="s">
        <v>22</v>
      </c>
      <c r="J55" s="104"/>
      <c r="K55" s="76"/>
      <c r="L55" s="76"/>
      <c r="M55" s="76"/>
      <c r="N55" s="175"/>
      <c r="O55" s="175"/>
      <c r="P55" s="175"/>
      <c r="Q55" s="175"/>
      <c r="R55" s="175"/>
      <c r="S55" s="176" t="s">
        <v>23</v>
      </c>
      <c r="T55" s="211"/>
      <c r="U55" s="212"/>
      <c r="V55" s="37"/>
      <c r="W55" s="243"/>
    </row>
    <row r="56" spans="1:23" ht="84">
      <c r="A56" s="289" t="s">
        <v>652</v>
      </c>
      <c r="B56" s="87"/>
      <c r="C56" s="37" t="s">
        <v>16</v>
      </c>
      <c r="D56" s="286" t="s">
        <v>653</v>
      </c>
      <c r="E56" s="214" t="s">
        <v>640</v>
      </c>
      <c r="F56" s="277" t="s">
        <v>654</v>
      </c>
      <c r="G56" s="277" t="s">
        <v>655</v>
      </c>
      <c r="H56" s="174" t="s">
        <v>21</v>
      </c>
      <c r="I56" s="288" t="s">
        <v>22</v>
      </c>
      <c r="J56" s="111"/>
      <c r="K56" s="84"/>
      <c r="L56" s="76"/>
      <c r="M56" s="76"/>
      <c r="N56" s="175"/>
      <c r="O56" s="175"/>
      <c r="P56" s="175"/>
      <c r="Q56" s="175"/>
      <c r="R56" s="175"/>
      <c r="S56" s="176" t="s">
        <v>23</v>
      </c>
      <c r="T56" s="211" t="s">
        <v>656</v>
      </c>
      <c r="U56" s="212"/>
      <c r="V56" s="37"/>
      <c r="W56" s="243"/>
    </row>
    <row r="57" spans="1:23" ht="84">
      <c r="A57" s="289" t="s">
        <v>657</v>
      </c>
      <c r="B57" s="87"/>
      <c r="C57" s="37" t="s">
        <v>16</v>
      </c>
      <c r="D57" s="275" t="s">
        <v>658</v>
      </c>
      <c r="E57" s="214" t="s">
        <v>640</v>
      </c>
      <c r="F57" s="277" t="s">
        <v>659</v>
      </c>
      <c r="G57" s="277" t="s">
        <v>660</v>
      </c>
      <c r="H57" s="174" t="s">
        <v>21</v>
      </c>
      <c r="I57" s="288" t="s">
        <v>22</v>
      </c>
      <c r="J57" s="111"/>
      <c r="K57" s="84"/>
      <c r="L57" s="76"/>
      <c r="M57" s="76"/>
      <c r="N57" s="175"/>
      <c r="O57" s="175"/>
      <c r="P57" s="175"/>
      <c r="Q57" s="175"/>
      <c r="R57" s="175"/>
      <c r="S57" s="176" t="s">
        <v>23</v>
      </c>
      <c r="T57" s="211" t="s">
        <v>656</v>
      </c>
      <c r="U57" s="212"/>
      <c r="V57" s="37"/>
      <c r="W57" s="243"/>
    </row>
    <row r="58" spans="1:23" ht="84">
      <c r="A58" s="289" t="s">
        <v>661</v>
      </c>
      <c r="B58" s="87"/>
      <c r="C58" s="37" t="s">
        <v>16</v>
      </c>
      <c r="D58" s="275" t="s">
        <v>662</v>
      </c>
      <c r="E58" s="214" t="s">
        <v>640</v>
      </c>
      <c r="F58" s="277" t="s">
        <v>663</v>
      </c>
      <c r="G58" s="277" t="s">
        <v>664</v>
      </c>
      <c r="H58" s="174" t="s">
        <v>21</v>
      </c>
      <c r="I58" s="288" t="s">
        <v>22</v>
      </c>
      <c r="J58" s="111"/>
      <c r="K58" s="84"/>
      <c r="L58" s="76"/>
      <c r="M58" s="76"/>
      <c r="N58" s="175"/>
      <c r="O58" s="175"/>
      <c r="P58" s="175"/>
      <c r="Q58" s="175"/>
      <c r="R58" s="175"/>
      <c r="S58" s="176" t="s">
        <v>23</v>
      </c>
      <c r="T58" s="211" t="s">
        <v>656</v>
      </c>
      <c r="U58" s="212"/>
      <c r="V58" s="37"/>
      <c r="W58" s="243"/>
    </row>
    <row r="59" spans="1:23" ht="84">
      <c r="A59" s="289" t="s">
        <v>665</v>
      </c>
      <c r="B59" s="87"/>
      <c r="C59" s="37" t="s">
        <v>16</v>
      </c>
      <c r="D59" s="290" t="s">
        <v>666</v>
      </c>
      <c r="E59" s="214" t="s">
        <v>640</v>
      </c>
      <c r="F59" s="291" t="s">
        <v>667</v>
      </c>
      <c r="G59" s="277" t="s">
        <v>668</v>
      </c>
      <c r="H59" s="174" t="s">
        <v>21</v>
      </c>
      <c r="I59" s="288" t="s">
        <v>22</v>
      </c>
      <c r="J59" s="111"/>
      <c r="K59" s="84"/>
      <c r="L59" s="76"/>
      <c r="M59" s="76"/>
      <c r="N59" s="175"/>
      <c r="O59" s="175"/>
      <c r="P59" s="175"/>
      <c r="Q59" s="175"/>
      <c r="R59" s="175"/>
      <c r="S59" s="176" t="s">
        <v>23</v>
      </c>
      <c r="T59" s="211" t="s">
        <v>656</v>
      </c>
      <c r="U59" s="212"/>
      <c r="V59" s="37"/>
      <c r="W59" s="243"/>
    </row>
    <row r="60" spans="1:23" ht="84">
      <c r="A60" s="289" t="s">
        <v>669</v>
      </c>
      <c r="B60" s="87"/>
      <c r="C60" s="37" t="s">
        <v>16</v>
      </c>
      <c r="D60" s="275" t="s">
        <v>670</v>
      </c>
      <c r="E60" s="214" t="s">
        <v>640</v>
      </c>
      <c r="F60" s="277" t="s">
        <v>671</v>
      </c>
      <c r="G60" s="277" t="s">
        <v>672</v>
      </c>
      <c r="H60" s="174" t="s">
        <v>21</v>
      </c>
      <c r="I60" s="288" t="s">
        <v>22</v>
      </c>
      <c r="J60" s="111"/>
      <c r="K60" s="84"/>
      <c r="L60" s="76"/>
      <c r="M60" s="76"/>
      <c r="N60" s="175"/>
      <c r="O60" s="175"/>
      <c r="P60" s="175"/>
      <c r="Q60" s="175"/>
      <c r="R60" s="175"/>
      <c r="S60" s="176" t="s">
        <v>23</v>
      </c>
      <c r="T60" s="211" t="s">
        <v>656</v>
      </c>
      <c r="U60" s="212"/>
      <c r="V60" s="37"/>
      <c r="W60" s="243"/>
    </row>
    <row r="61" spans="1:23" ht="266">
      <c r="A61" s="214" t="s">
        <v>673</v>
      </c>
      <c r="B61" s="87"/>
      <c r="C61" s="37" t="s">
        <v>16</v>
      </c>
      <c r="D61" s="292" t="s">
        <v>674</v>
      </c>
      <c r="E61" s="276" t="s">
        <v>675</v>
      </c>
      <c r="F61" s="293" t="s">
        <v>676</v>
      </c>
      <c r="G61" s="255" t="s">
        <v>677</v>
      </c>
      <c r="H61" s="174" t="s">
        <v>21</v>
      </c>
      <c r="I61" s="288" t="s">
        <v>22</v>
      </c>
      <c r="J61" s="104"/>
      <c r="K61" s="76" t="s">
        <v>23</v>
      </c>
      <c r="L61" s="76"/>
      <c r="M61" s="76"/>
      <c r="N61" s="175"/>
      <c r="O61" s="175"/>
      <c r="P61" s="175"/>
      <c r="Q61" s="175"/>
      <c r="R61" s="175"/>
      <c r="S61" s="176"/>
      <c r="T61" s="177"/>
      <c r="U61" s="220" t="s">
        <v>678</v>
      </c>
      <c r="V61" s="59"/>
      <c r="W61" s="243"/>
    </row>
    <row r="62" spans="1:23" ht="154">
      <c r="A62" s="215" t="s">
        <v>679</v>
      </c>
      <c r="B62" s="87"/>
      <c r="C62" s="37" t="s">
        <v>16</v>
      </c>
      <c r="D62" s="292" t="s">
        <v>680</v>
      </c>
      <c r="E62" s="184" t="s">
        <v>681</v>
      </c>
      <c r="F62" s="184" t="s">
        <v>682</v>
      </c>
      <c r="G62" s="255" t="s">
        <v>677</v>
      </c>
      <c r="H62" s="174" t="s">
        <v>21</v>
      </c>
      <c r="I62" s="288" t="s">
        <v>22</v>
      </c>
      <c r="J62" s="111"/>
      <c r="K62" s="84"/>
      <c r="L62" s="76"/>
      <c r="M62" s="76" t="s">
        <v>23</v>
      </c>
      <c r="N62" s="175"/>
      <c r="O62" s="175"/>
      <c r="P62" s="175"/>
      <c r="Q62" s="175"/>
      <c r="R62" s="175"/>
      <c r="S62" s="176"/>
      <c r="T62" s="177"/>
      <c r="U62" s="220" t="s">
        <v>683</v>
      </c>
      <c r="V62" s="59"/>
      <c r="W62" s="243"/>
    </row>
    <row r="63" spans="1:23" ht="154">
      <c r="A63" s="215" t="s">
        <v>684</v>
      </c>
      <c r="B63" s="87"/>
      <c r="C63" s="37" t="s">
        <v>16</v>
      </c>
      <c r="D63" s="292" t="s">
        <v>685</v>
      </c>
      <c r="E63" s="184" t="s">
        <v>686</v>
      </c>
      <c r="F63" s="184" t="s">
        <v>687</v>
      </c>
      <c r="G63" s="255" t="s">
        <v>677</v>
      </c>
      <c r="H63" s="174" t="s">
        <v>21</v>
      </c>
      <c r="I63" s="288" t="s">
        <v>22</v>
      </c>
      <c r="J63" s="111"/>
      <c r="K63" s="84" t="s">
        <v>23</v>
      </c>
      <c r="L63" s="76"/>
      <c r="M63" s="76"/>
      <c r="N63" s="175"/>
      <c r="O63" s="175"/>
      <c r="P63" s="175"/>
      <c r="Q63" s="175"/>
      <c r="R63" s="175"/>
      <c r="S63" s="176"/>
      <c r="T63" s="211"/>
      <c r="U63" s="212"/>
      <c r="V63" s="37"/>
      <c r="W63" s="243"/>
    </row>
    <row r="64" spans="1:23" ht="80.25" customHeight="1">
      <c r="A64" s="274" t="s">
        <v>688</v>
      </c>
      <c r="B64" s="294"/>
      <c r="C64" s="37" t="s">
        <v>16</v>
      </c>
      <c r="D64" s="295" t="s">
        <v>689</v>
      </c>
      <c r="E64" s="173" t="s">
        <v>690</v>
      </c>
      <c r="F64" s="296" t="s">
        <v>691</v>
      </c>
      <c r="G64" s="255" t="s">
        <v>677</v>
      </c>
      <c r="H64" s="174" t="s">
        <v>21</v>
      </c>
      <c r="I64" s="288" t="s">
        <v>22</v>
      </c>
      <c r="J64" s="111"/>
      <c r="K64" s="84"/>
      <c r="L64" s="76"/>
      <c r="M64" s="76"/>
      <c r="N64" s="175"/>
      <c r="O64" s="175"/>
      <c r="P64" s="175"/>
      <c r="Q64" s="175"/>
      <c r="R64" s="175" t="s">
        <v>23</v>
      </c>
      <c r="S64" s="176"/>
      <c r="T64" s="211"/>
      <c r="U64" s="212"/>
      <c r="V64" s="37"/>
      <c r="W64" s="243"/>
    </row>
    <row r="65" spans="1:23" ht="84">
      <c r="A65" s="278" t="s">
        <v>692</v>
      </c>
      <c r="B65" s="127"/>
      <c r="C65" s="37" t="s">
        <v>16</v>
      </c>
      <c r="D65" s="297" t="s">
        <v>693</v>
      </c>
      <c r="E65" s="298" t="s">
        <v>694</v>
      </c>
      <c r="F65" s="281" t="s">
        <v>695</v>
      </c>
      <c r="G65" s="281" t="s">
        <v>677</v>
      </c>
      <c r="H65" s="217" t="s">
        <v>21</v>
      </c>
      <c r="I65" s="299" t="s">
        <v>22</v>
      </c>
      <c r="J65" s="189"/>
      <c r="K65" s="84"/>
      <c r="L65" s="76"/>
      <c r="M65" s="76"/>
      <c r="N65" s="175"/>
      <c r="O65" s="175"/>
      <c r="P65" s="175"/>
      <c r="Q65" s="175"/>
      <c r="R65" s="175"/>
      <c r="S65" s="176" t="s">
        <v>23</v>
      </c>
      <c r="T65" s="211"/>
      <c r="U65" s="212" t="s">
        <v>616</v>
      </c>
      <c r="V65" s="37"/>
      <c r="W65" s="285"/>
    </row>
    <row r="66" spans="1:23" ht="154">
      <c r="A66" s="300" t="s">
        <v>696</v>
      </c>
      <c r="B66" s="127"/>
      <c r="C66" s="37" t="s">
        <v>16</v>
      </c>
      <c r="D66" s="301" t="s">
        <v>697</v>
      </c>
      <c r="E66" s="302" t="s">
        <v>626</v>
      </c>
      <c r="F66" s="129" t="s">
        <v>698</v>
      </c>
      <c r="G66" s="129" t="s">
        <v>677</v>
      </c>
      <c r="H66" s="217" t="s">
        <v>21</v>
      </c>
      <c r="I66" s="37" t="s">
        <v>22</v>
      </c>
      <c r="J66" s="84"/>
      <c r="K66" s="84"/>
      <c r="L66" s="76"/>
      <c r="M66" s="76"/>
      <c r="N66" s="175"/>
      <c r="O66" s="175"/>
      <c r="P66" s="175"/>
      <c r="Q66" s="175"/>
      <c r="R66" s="175"/>
      <c r="S66" s="176" t="s">
        <v>64</v>
      </c>
      <c r="T66" s="177" t="s">
        <v>699</v>
      </c>
      <c r="U66" s="212" t="s">
        <v>616</v>
      </c>
      <c r="V66" s="37"/>
      <c r="W66" s="243"/>
    </row>
    <row r="67" spans="1:23" ht="140">
      <c r="A67" s="303" t="s">
        <v>700</v>
      </c>
      <c r="B67" s="87"/>
      <c r="C67" s="37" t="s">
        <v>16</v>
      </c>
      <c r="D67" s="304" t="s">
        <v>701</v>
      </c>
      <c r="E67" s="106" t="s">
        <v>702</v>
      </c>
      <c r="F67" s="106" t="s">
        <v>703</v>
      </c>
      <c r="G67" s="106"/>
      <c r="H67" s="174" t="s">
        <v>21</v>
      </c>
      <c r="I67" s="288" t="s">
        <v>22</v>
      </c>
      <c r="J67" s="111"/>
      <c r="K67" s="84"/>
      <c r="L67" s="76"/>
      <c r="M67" s="76"/>
      <c r="N67" s="175"/>
      <c r="O67" s="175"/>
      <c r="P67" s="175"/>
      <c r="Q67" s="175" t="s">
        <v>23</v>
      </c>
      <c r="R67" s="175"/>
      <c r="S67" s="176"/>
      <c r="T67" s="222" t="s">
        <v>704</v>
      </c>
      <c r="U67" s="305"/>
      <c r="V67" s="77"/>
      <c r="W67" s="306"/>
    </row>
    <row r="68" spans="1:23" ht="66">
      <c r="A68" s="307" t="s">
        <v>705</v>
      </c>
      <c r="B68" s="87"/>
      <c r="C68" s="37" t="s">
        <v>16</v>
      </c>
      <c r="D68" s="304" t="s">
        <v>706</v>
      </c>
      <c r="E68" s="106" t="s">
        <v>707</v>
      </c>
      <c r="F68" s="106" t="s">
        <v>3195</v>
      </c>
      <c r="G68" s="106"/>
      <c r="H68" s="174" t="s">
        <v>21</v>
      </c>
      <c r="I68" s="288" t="s">
        <v>531</v>
      </c>
      <c r="J68" s="104"/>
      <c r="K68" s="76"/>
      <c r="L68" s="76"/>
      <c r="M68" s="76"/>
      <c r="N68" s="175"/>
      <c r="O68" s="175"/>
      <c r="P68" s="175"/>
      <c r="Q68" s="175"/>
      <c r="R68" s="175"/>
      <c r="S68" s="176" t="s">
        <v>23</v>
      </c>
      <c r="T68" s="211"/>
      <c r="U68" s="212" t="s">
        <v>616</v>
      </c>
      <c r="V68" s="37"/>
      <c r="W68" s="308"/>
    </row>
    <row r="69" spans="1:23" ht="56">
      <c r="A69" s="307" t="s">
        <v>708</v>
      </c>
      <c r="B69" s="87"/>
      <c r="C69" s="37" t="s">
        <v>16</v>
      </c>
      <c r="D69" s="304" t="s">
        <v>709</v>
      </c>
      <c r="E69" s="106" t="s">
        <v>710</v>
      </c>
      <c r="F69" s="106" t="s">
        <v>711</v>
      </c>
      <c r="G69" s="106"/>
      <c r="H69" s="174" t="s">
        <v>21</v>
      </c>
      <c r="I69" s="288" t="s">
        <v>531</v>
      </c>
      <c r="J69" s="111"/>
      <c r="K69" s="84"/>
      <c r="L69" s="76"/>
      <c r="M69" s="76"/>
      <c r="N69" s="175"/>
      <c r="O69" s="175"/>
      <c r="P69" s="175"/>
      <c r="Q69" s="175"/>
      <c r="R69" s="175"/>
      <c r="S69" s="176" t="s">
        <v>23</v>
      </c>
      <c r="T69" s="211"/>
      <c r="U69" s="212" t="s">
        <v>616</v>
      </c>
      <c r="V69" s="37"/>
      <c r="W69" s="243"/>
    </row>
    <row r="70" spans="1:23" ht="84">
      <c r="A70" s="307" t="s">
        <v>712</v>
      </c>
      <c r="B70" s="109"/>
      <c r="C70" s="37" t="s">
        <v>16</v>
      </c>
      <c r="D70" s="304" t="s">
        <v>713</v>
      </c>
      <c r="E70" s="309" t="s">
        <v>714</v>
      </c>
      <c r="F70" s="309" t="s">
        <v>715</v>
      </c>
      <c r="G70" s="310"/>
      <c r="H70" s="174" t="s">
        <v>21</v>
      </c>
      <c r="I70" s="259" t="s">
        <v>531</v>
      </c>
      <c r="J70" s="111"/>
      <c r="K70" s="84"/>
      <c r="L70" s="76"/>
      <c r="M70" s="76"/>
      <c r="N70" s="175"/>
      <c r="O70" s="175"/>
      <c r="P70" s="175"/>
      <c r="Q70" s="175"/>
      <c r="R70" s="175"/>
      <c r="S70" s="176" t="s">
        <v>23</v>
      </c>
      <c r="T70" s="211"/>
      <c r="U70" s="212" t="s">
        <v>616</v>
      </c>
      <c r="V70" s="37"/>
      <c r="W70" s="243"/>
    </row>
    <row r="71" spans="1:23" ht="56">
      <c r="A71" s="311" t="s">
        <v>716</v>
      </c>
      <c r="B71" s="312"/>
      <c r="C71" s="238" t="s">
        <v>16</v>
      </c>
      <c r="D71" s="313" t="s">
        <v>717</v>
      </c>
      <c r="E71" s="314" t="s">
        <v>707</v>
      </c>
      <c r="F71" s="314" t="s">
        <v>718</v>
      </c>
      <c r="G71" s="314"/>
      <c r="H71" s="282" t="s">
        <v>21</v>
      </c>
      <c r="I71" s="315" t="s">
        <v>531</v>
      </c>
      <c r="J71" s="316"/>
      <c r="K71" s="317"/>
      <c r="L71" s="158"/>
      <c r="M71" s="158"/>
      <c r="N71" s="318"/>
      <c r="O71" s="318"/>
      <c r="P71" s="318"/>
      <c r="Q71" s="318"/>
      <c r="R71" s="318"/>
      <c r="S71" s="319"/>
      <c r="T71" s="320" t="s">
        <v>719</v>
      </c>
      <c r="U71" s="284" t="s">
        <v>616</v>
      </c>
      <c r="V71" s="238"/>
      <c r="W71" s="321"/>
    </row>
    <row r="72" spans="1:23" ht="56">
      <c r="A72" s="311" t="s">
        <v>720</v>
      </c>
      <c r="B72" s="312"/>
      <c r="C72" s="238" t="s">
        <v>16</v>
      </c>
      <c r="D72" s="313" t="s">
        <v>721</v>
      </c>
      <c r="E72" s="314" t="s">
        <v>710</v>
      </c>
      <c r="F72" s="314" t="s">
        <v>722</v>
      </c>
      <c r="G72" s="322"/>
      <c r="H72" s="282" t="s">
        <v>21</v>
      </c>
      <c r="I72" s="323" t="s">
        <v>531</v>
      </c>
      <c r="J72" s="316"/>
      <c r="K72" s="317"/>
      <c r="L72" s="158"/>
      <c r="M72" s="158"/>
      <c r="N72" s="318"/>
      <c r="O72" s="318"/>
      <c r="P72" s="318"/>
      <c r="Q72" s="318"/>
      <c r="R72" s="318"/>
      <c r="S72" s="319"/>
      <c r="T72" s="320" t="s">
        <v>719</v>
      </c>
      <c r="U72" s="284" t="s">
        <v>616</v>
      </c>
      <c r="V72" s="238"/>
      <c r="W72" s="321"/>
    </row>
    <row r="73" spans="1:23" ht="84">
      <c r="A73" s="311" t="s">
        <v>723</v>
      </c>
      <c r="B73" s="312"/>
      <c r="C73" s="238" t="s">
        <v>16</v>
      </c>
      <c r="D73" s="324" t="s">
        <v>724</v>
      </c>
      <c r="E73" s="325" t="s">
        <v>725</v>
      </c>
      <c r="F73" s="325" t="s">
        <v>726</v>
      </c>
      <c r="G73" s="322"/>
      <c r="H73" s="282" t="s">
        <v>21</v>
      </c>
      <c r="I73" s="323" t="s">
        <v>531</v>
      </c>
      <c r="J73" s="316"/>
      <c r="K73" s="317"/>
      <c r="L73" s="158"/>
      <c r="M73" s="158"/>
      <c r="N73" s="318"/>
      <c r="O73" s="318"/>
      <c r="P73" s="318"/>
      <c r="Q73" s="318"/>
      <c r="R73" s="318"/>
      <c r="S73" s="319"/>
      <c r="T73" s="320" t="s">
        <v>719</v>
      </c>
      <c r="U73" s="284" t="s">
        <v>616</v>
      </c>
      <c r="V73" s="238"/>
      <c r="W73" s="321"/>
    </row>
    <row r="74" spans="1:23" ht="56">
      <c r="A74" s="326" t="s">
        <v>727</v>
      </c>
      <c r="B74" s="37"/>
      <c r="C74" s="37" t="s">
        <v>16</v>
      </c>
      <c r="D74" s="327" t="s">
        <v>728</v>
      </c>
      <c r="E74" s="188" t="s">
        <v>729</v>
      </c>
      <c r="F74" s="188" t="s">
        <v>730</v>
      </c>
      <c r="G74" s="328"/>
      <c r="H74" s="217" t="s">
        <v>21</v>
      </c>
      <c r="I74" s="169" t="s">
        <v>531</v>
      </c>
      <c r="J74" s="225"/>
      <c r="K74" s="76"/>
      <c r="L74" s="76"/>
      <c r="M74" s="76"/>
      <c r="N74" s="175"/>
      <c r="O74" s="175"/>
      <c r="P74" s="175"/>
      <c r="Q74" s="175"/>
      <c r="R74" s="175"/>
      <c r="S74" s="176" t="s">
        <v>23</v>
      </c>
      <c r="T74" s="177" t="s">
        <v>731</v>
      </c>
      <c r="U74" s="212" t="s">
        <v>616</v>
      </c>
      <c r="V74" s="37"/>
      <c r="W74" s="308"/>
    </row>
    <row r="75" spans="1:23" ht="56">
      <c r="A75" s="326" t="s">
        <v>732</v>
      </c>
      <c r="B75" s="37"/>
      <c r="C75" s="37" t="s">
        <v>16</v>
      </c>
      <c r="D75" s="327" t="s">
        <v>733</v>
      </c>
      <c r="E75" s="188" t="s">
        <v>729</v>
      </c>
      <c r="F75" s="188" t="s">
        <v>734</v>
      </c>
      <c r="G75" s="328"/>
      <c r="H75" s="217" t="s">
        <v>21</v>
      </c>
      <c r="I75" s="169" t="s">
        <v>531</v>
      </c>
      <c r="J75" s="189"/>
      <c r="K75" s="84"/>
      <c r="L75" s="76"/>
      <c r="M75" s="76"/>
      <c r="N75" s="175"/>
      <c r="O75" s="175"/>
      <c r="P75" s="175"/>
      <c r="Q75" s="175"/>
      <c r="R75" s="175"/>
      <c r="S75" s="176" t="s">
        <v>23</v>
      </c>
      <c r="T75" s="211"/>
      <c r="U75" s="212" t="s">
        <v>616</v>
      </c>
      <c r="V75" s="37"/>
      <c r="W75" s="243"/>
    </row>
    <row r="76" spans="1:23" ht="66">
      <c r="A76" s="326" t="s">
        <v>735</v>
      </c>
      <c r="B76" s="37"/>
      <c r="C76" s="37" t="s">
        <v>16</v>
      </c>
      <c r="D76" s="297" t="s">
        <v>736</v>
      </c>
      <c r="E76" s="188" t="s">
        <v>729</v>
      </c>
      <c r="F76" s="329" t="s">
        <v>3196</v>
      </c>
      <c r="G76" s="328"/>
      <c r="H76" s="217" t="s">
        <v>21</v>
      </c>
      <c r="I76" s="169" t="s">
        <v>531</v>
      </c>
      <c r="J76" s="189"/>
      <c r="K76" s="84"/>
      <c r="L76" s="76"/>
      <c r="M76" s="76"/>
      <c r="N76" s="175"/>
      <c r="O76" s="175"/>
      <c r="P76" s="175"/>
      <c r="Q76" s="175"/>
      <c r="R76" s="175"/>
      <c r="S76" s="176" t="s">
        <v>23</v>
      </c>
      <c r="T76" s="211"/>
      <c r="U76" s="212" t="s">
        <v>616</v>
      </c>
      <c r="V76" s="37"/>
      <c r="W76" s="243"/>
    </row>
    <row r="77" spans="1:23" ht="84">
      <c r="A77" s="330" t="s">
        <v>737</v>
      </c>
      <c r="B77" s="331"/>
      <c r="C77" s="37" t="s">
        <v>16</v>
      </c>
      <c r="D77" s="297" t="s">
        <v>738</v>
      </c>
      <c r="E77" s="332" t="s">
        <v>739</v>
      </c>
      <c r="F77" s="188" t="s">
        <v>740</v>
      </c>
      <c r="G77" s="192" t="s">
        <v>741</v>
      </c>
      <c r="H77" s="217" t="s">
        <v>21</v>
      </c>
      <c r="I77" s="333" t="s">
        <v>531</v>
      </c>
      <c r="J77" s="111"/>
      <c r="K77" s="84"/>
      <c r="L77" s="76"/>
      <c r="M77" s="76" t="s">
        <v>23</v>
      </c>
      <c r="N77" s="175"/>
      <c r="O77" s="175"/>
      <c r="P77" s="175"/>
      <c r="Q77" s="175"/>
      <c r="R77" s="175"/>
      <c r="S77" s="176"/>
      <c r="T77" s="236"/>
      <c r="U77" s="334"/>
      <c r="V77" s="151"/>
      <c r="W77" s="335"/>
    </row>
    <row r="78" spans="1:23" ht="346.5">
      <c r="A78" s="336" t="s">
        <v>742</v>
      </c>
      <c r="B78" s="109"/>
      <c r="C78" s="37" t="s">
        <v>16</v>
      </c>
      <c r="D78" s="304" t="s">
        <v>743</v>
      </c>
      <c r="E78" s="109"/>
      <c r="F78" s="337" t="s">
        <v>3197</v>
      </c>
      <c r="G78" s="87"/>
      <c r="H78" s="174" t="s">
        <v>21</v>
      </c>
      <c r="I78" s="259" t="s">
        <v>22</v>
      </c>
      <c r="J78" s="104"/>
      <c r="K78" s="76" t="s">
        <v>23</v>
      </c>
      <c r="L78" s="76"/>
      <c r="M78" s="76"/>
      <c r="N78" s="175"/>
      <c r="O78" s="175"/>
      <c r="P78" s="175"/>
      <c r="Q78" s="175"/>
      <c r="R78" s="175"/>
      <c r="S78" s="176"/>
      <c r="T78" s="338"/>
      <c r="U78" s="339"/>
      <c r="V78" s="340"/>
      <c r="W78" s="341"/>
    </row>
    <row r="79" spans="1:23" ht="154">
      <c r="A79" s="336" t="s">
        <v>744</v>
      </c>
      <c r="B79" s="87"/>
      <c r="C79" s="37" t="s">
        <v>16</v>
      </c>
      <c r="D79" s="342" t="s">
        <v>745</v>
      </c>
      <c r="E79" s="171"/>
      <c r="F79" s="343" t="s">
        <v>746</v>
      </c>
      <c r="G79" s="87"/>
      <c r="H79" s="174" t="s">
        <v>21</v>
      </c>
      <c r="I79" s="288" t="s">
        <v>22</v>
      </c>
      <c r="J79" s="111"/>
      <c r="K79" s="84" t="s">
        <v>23</v>
      </c>
      <c r="L79" s="76"/>
      <c r="M79" s="76"/>
      <c r="N79" s="175"/>
      <c r="O79" s="175"/>
      <c r="P79" s="175"/>
      <c r="Q79" s="175"/>
      <c r="R79" s="175"/>
      <c r="S79" s="176"/>
      <c r="T79" s="211"/>
      <c r="U79" s="212"/>
      <c r="V79" s="37"/>
      <c r="W79" s="243"/>
    </row>
    <row r="80" spans="1:23" ht="181.5">
      <c r="A80" s="330" t="s">
        <v>747</v>
      </c>
      <c r="B80" s="331"/>
      <c r="C80" s="37" t="s">
        <v>16</v>
      </c>
      <c r="D80" s="297" t="s">
        <v>748</v>
      </c>
      <c r="E80" s="344" t="s">
        <v>749</v>
      </c>
      <c r="F80" s="345" t="s">
        <v>3198</v>
      </c>
      <c r="G80" s="37"/>
      <c r="H80" s="217" t="s">
        <v>21</v>
      </c>
      <c r="I80" s="333" t="s">
        <v>531</v>
      </c>
      <c r="J80" s="189"/>
      <c r="K80" s="84"/>
      <c r="L80" s="76"/>
      <c r="M80" s="76"/>
      <c r="N80" s="175"/>
      <c r="O80" s="175"/>
      <c r="P80" s="175"/>
      <c r="Q80" s="175"/>
      <c r="R80" s="175"/>
      <c r="S80" s="176" t="s">
        <v>23</v>
      </c>
      <c r="T80" s="177"/>
      <c r="U80" s="346" t="s">
        <v>750</v>
      </c>
      <c r="V80" s="117"/>
      <c r="W80" s="243"/>
    </row>
    <row r="81" spans="1:23" ht="181.5">
      <c r="A81" s="330" t="s">
        <v>751</v>
      </c>
      <c r="B81" s="37"/>
      <c r="C81" s="37" t="s">
        <v>16</v>
      </c>
      <c r="D81" s="297" t="s">
        <v>752</v>
      </c>
      <c r="E81" s="344" t="s">
        <v>749</v>
      </c>
      <c r="F81" s="345" t="s">
        <v>3199</v>
      </c>
      <c r="G81" s="37"/>
      <c r="H81" s="217" t="s">
        <v>21</v>
      </c>
      <c r="I81" s="347" t="s">
        <v>531</v>
      </c>
      <c r="J81" s="189"/>
      <c r="K81" s="84"/>
      <c r="L81" s="76"/>
      <c r="M81" s="76"/>
      <c r="N81" s="175"/>
      <c r="O81" s="175"/>
      <c r="P81" s="175"/>
      <c r="Q81" s="175"/>
      <c r="R81" s="175"/>
      <c r="S81" s="176" t="s">
        <v>23</v>
      </c>
      <c r="T81" s="177"/>
      <c r="U81" s="346" t="s">
        <v>750</v>
      </c>
      <c r="V81" s="117"/>
      <c r="W81" s="243"/>
    </row>
    <row r="82" spans="1:23" ht="280.5">
      <c r="A82" s="330" t="s">
        <v>753</v>
      </c>
      <c r="B82" s="37"/>
      <c r="C82" s="37" t="s">
        <v>16</v>
      </c>
      <c r="D82" s="297" t="s">
        <v>754</v>
      </c>
      <c r="E82" s="344" t="s">
        <v>749</v>
      </c>
      <c r="F82" s="345" t="s">
        <v>3200</v>
      </c>
      <c r="G82" s="37"/>
      <c r="H82" s="217" t="s">
        <v>21</v>
      </c>
      <c r="I82" s="348" t="s">
        <v>531</v>
      </c>
      <c r="J82" s="225"/>
      <c r="K82" s="76"/>
      <c r="L82" s="76"/>
      <c r="M82" s="76"/>
      <c r="N82" s="175"/>
      <c r="O82" s="175"/>
      <c r="P82" s="175"/>
      <c r="Q82" s="175"/>
      <c r="R82" s="175"/>
      <c r="S82" s="176" t="s">
        <v>23</v>
      </c>
      <c r="T82" s="177"/>
      <c r="U82" s="346" t="s">
        <v>750</v>
      </c>
      <c r="V82" s="117"/>
      <c r="W82" s="243"/>
    </row>
    <row r="83" spans="1:23" ht="181.5">
      <c r="A83" s="330" t="s">
        <v>755</v>
      </c>
      <c r="B83" s="37"/>
      <c r="C83" s="37" t="s">
        <v>16</v>
      </c>
      <c r="D83" s="327" t="s">
        <v>756</v>
      </c>
      <c r="E83" s="344" t="s">
        <v>757</v>
      </c>
      <c r="F83" s="345" t="s">
        <v>3201</v>
      </c>
      <c r="G83" s="37"/>
      <c r="H83" s="217" t="s">
        <v>21</v>
      </c>
      <c r="I83" s="169" t="s">
        <v>531</v>
      </c>
      <c r="J83" s="189"/>
      <c r="K83" s="84"/>
      <c r="L83" s="76"/>
      <c r="M83" s="76"/>
      <c r="N83" s="175"/>
      <c r="O83" s="175"/>
      <c r="P83" s="175"/>
      <c r="Q83" s="175"/>
      <c r="R83" s="175"/>
      <c r="S83" s="235" t="s">
        <v>64</v>
      </c>
      <c r="T83" s="177"/>
      <c r="U83" s="346" t="s">
        <v>750</v>
      </c>
      <c r="V83" s="117"/>
      <c r="W83" s="243"/>
    </row>
    <row r="84" spans="1:23" ht="165">
      <c r="A84" s="330" t="s">
        <v>758</v>
      </c>
      <c r="B84" s="37"/>
      <c r="C84" s="37" t="s">
        <v>16</v>
      </c>
      <c r="D84" s="297" t="s">
        <v>759</v>
      </c>
      <c r="E84" s="344" t="s">
        <v>760</v>
      </c>
      <c r="F84" s="345" t="s">
        <v>3202</v>
      </c>
      <c r="G84" s="37"/>
      <c r="H84" s="217" t="s">
        <v>21</v>
      </c>
      <c r="I84" s="169" t="s">
        <v>531</v>
      </c>
      <c r="J84" s="189"/>
      <c r="K84" s="84"/>
      <c r="L84" s="76"/>
      <c r="M84" s="76"/>
      <c r="N84" s="175"/>
      <c r="O84" s="175"/>
      <c r="P84" s="175"/>
      <c r="Q84" s="175"/>
      <c r="R84" s="175"/>
      <c r="S84" s="176" t="s">
        <v>64</v>
      </c>
      <c r="T84" s="177"/>
      <c r="U84" s="346" t="s">
        <v>750</v>
      </c>
      <c r="V84" s="117"/>
      <c r="W84" s="285"/>
    </row>
    <row r="85" spans="1:23" ht="214.5">
      <c r="A85" s="330" t="s">
        <v>761</v>
      </c>
      <c r="B85" s="37"/>
      <c r="C85" s="37" t="s">
        <v>16</v>
      </c>
      <c r="D85" s="297" t="s">
        <v>762</v>
      </c>
      <c r="E85" s="344" t="s">
        <v>763</v>
      </c>
      <c r="F85" s="345" t="s">
        <v>3203</v>
      </c>
      <c r="G85" s="37"/>
      <c r="H85" s="217" t="s">
        <v>21</v>
      </c>
      <c r="I85" s="348" t="s">
        <v>531</v>
      </c>
      <c r="J85" s="189"/>
      <c r="K85" s="84"/>
      <c r="L85" s="76"/>
      <c r="M85" s="76"/>
      <c r="N85" s="175"/>
      <c r="O85" s="175"/>
      <c r="P85" s="175"/>
      <c r="Q85" s="175"/>
      <c r="R85" s="175"/>
      <c r="S85" s="176" t="s">
        <v>23</v>
      </c>
      <c r="T85" s="177"/>
      <c r="U85" s="346" t="s">
        <v>750</v>
      </c>
      <c r="V85" s="117"/>
      <c r="W85" s="243"/>
    </row>
    <row r="86" spans="1:23" ht="181.5">
      <c r="A86" s="336" t="s">
        <v>764</v>
      </c>
      <c r="B86" s="349"/>
      <c r="C86" s="37" t="s">
        <v>16</v>
      </c>
      <c r="D86" s="342" t="s">
        <v>765</v>
      </c>
      <c r="E86" s="171" t="s">
        <v>766</v>
      </c>
      <c r="F86" s="337" t="s">
        <v>3204</v>
      </c>
      <c r="G86" s="349"/>
      <c r="H86" s="174" t="s">
        <v>21</v>
      </c>
      <c r="I86" s="350" t="s">
        <v>22</v>
      </c>
      <c r="J86" s="225"/>
      <c r="K86" s="76" t="s">
        <v>23</v>
      </c>
      <c r="L86" s="76"/>
      <c r="M86" s="76"/>
      <c r="N86" s="175"/>
      <c r="O86" s="175"/>
      <c r="P86" s="175"/>
      <c r="Q86" s="175"/>
      <c r="R86" s="175"/>
      <c r="S86" s="176"/>
      <c r="T86" s="222"/>
      <c r="U86" s="351"/>
      <c r="V86" s="77"/>
      <c r="W86" s="352"/>
    </row>
    <row r="87" spans="1:23" ht="132">
      <c r="A87" s="353" t="s">
        <v>767</v>
      </c>
      <c r="B87" s="349"/>
      <c r="C87" s="37" t="s">
        <v>16</v>
      </c>
      <c r="D87" s="342" t="s">
        <v>768</v>
      </c>
      <c r="E87" s="171" t="s">
        <v>766</v>
      </c>
      <c r="F87" s="337" t="s">
        <v>3205</v>
      </c>
      <c r="G87" s="349"/>
      <c r="H87" s="174" t="s">
        <v>21</v>
      </c>
      <c r="I87" s="350" t="s">
        <v>531</v>
      </c>
      <c r="J87" s="225"/>
      <c r="K87" s="76"/>
      <c r="L87" s="76"/>
      <c r="M87" s="175"/>
      <c r="N87" s="175"/>
      <c r="O87" s="175"/>
      <c r="P87" s="175"/>
      <c r="Q87" s="175"/>
      <c r="R87" s="175" t="s">
        <v>23</v>
      </c>
      <c r="S87" s="176" t="s">
        <v>23</v>
      </c>
      <c r="T87" s="222"/>
      <c r="U87" s="351" t="s">
        <v>769</v>
      </c>
      <c r="V87" s="77"/>
      <c r="W87" s="354"/>
    </row>
    <row r="88" spans="1:23" ht="214.5">
      <c r="A88" s="336" t="s">
        <v>770</v>
      </c>
      <c r="B88" s="349"/>
      <c r="C88" s="37" t="s">
        <v>16</v>
      </c>
      <c r="D88" s="342" t="s">
        <v>771</v>
      </c>
      <c r="E88" s="171" t="s">
        <v>766</v>
      </c>
      <c r="F88" s="337" t="s">
        <v>3206</v>
      </c>
      <c r="G88" s="349"/>
      <c r="H88" s="174" t="s">
        <v>21</v>
      </c>
      <c r="I88" s="350" t="s">
        <v>22</v>
      </c>
      <c r="J88" s="225"/>
      <c r="K88" s="76"/>
      <c r="L88" s="76"/>
      <c r="M88" s="76"/>
      <c r="N88" s="175"/>
      <c r="O88" s="175"/>
      <c r="P88" s="175"/>
      <c r="Q88" s="175"/>
      <c r="R88" s="175"/>
      <c r="S88" s="176" t="s">
        <v>23</v>
      </c>
      <c r="T88" s="177"/>
      <c r="U88" s="346" t="s">
        <v>750</v>
      </c>
      <c r="V88" s="117"/>
      <c r="W88" s="354"/>
    </row>
    <row r="89" spans="1:23" ht="70">
      <c r="A89" s="330" t="s">
        <v>772</v>
      </c>
      <c r="B89" s="217"/>
      <c r="C89" s="37" t="s">
        <v>16</v>
      </c>
      <c r="D89" s="297" t="s">
        <v>773</v>
      </c>
      <c r="E89" s="344" t="s">
        <v>749</v>
      </c>
      <c r="F89" s="345" t="s">
        <v>774</v>
      </c>
      <c r="G89" s="217"/>
      <c r="H89" s="217" t="s">
        <v>21</v>
      </c>
      <c r="I89" s="350" t="s">
        <v>531</v>
      </c>
      <c r="J89" s="111"/>
      <c r="K89" s="84"/>
      <c r="L89" s="76"/>
      <c r="M89" s="76"/>
      <c r="N89" s="175"/>
      <c r="O89" s="175"/>
      <c r="P89" s="175"/>
      <c r="Q89" s="175"/>
      <c r="R89" s="175"/>
      <c r="S89" s="176" t="s">
        <v>23</v>
      </c>
      <c r="T89" s="177"/>
      <c r="U89" s="346" t="s">
        <v>750</v>
      </c>
      <c r="V89" s="117"/>
      <c r="W89" s="355"/>
    </row>
    <row r="90" spans="1:23" ht="214.5">
      <c r="A90" s="336" t="s">
        <v>775</v>
      </c>
      <c r="B90" s="170"/>
      <c r="C90" s="37" t="s">
        <v>16</v>
      </c>
      <c r="D90" s="178" t="s">
        <v>776</v>
      </c>
      <c r="E90" s="171" t="s">
        <v>777</v>
      </c>
      <c r="F90" s="276" t="s">
        <v>3207</v>
      </c>
      <c r="G90" s="172" t="s">
        <v>778</v>
      </c>
      <c r="H90" s="174" t="s">
        <v>21</v>
      </c>
      <c r="I90" s="249" t="s">
        <v>22</v>
      </c>
      <c r="J90" s="104"/>
      <c r="K90" s="76" t="s">
        <v>23</v>
      </c>
      <c r="L90" s="76"/>
      <c r="M90" s="175"/>
      <c r="N90" s="175"/>
      <c r="O90" s="175"/>
      <c r="P90" s="175"/>
      <c r="Q90" s="175"/>
      <c r="R90" s="175"/>
      <c r="S90" s="176"/>
      <c r="T90" s="177"/>
      <c r="U90" s="178"/>
      <c r="V90" s="100"/>
      <c r="W90" s="356"/>
    </row>
    <row r="91" spans="1:23" ht="182">
      <c r="A91" s="357" t="s">
        <v>779</v>
      </c>
      <c r="B91" s="170"/>
      <c r="C91" s="37" t="s">
        <v>16</v>
      </c>
      <c r="D91" s="178" t="s">
        <v>780</v>
      </c>
      <c r="E91" s="171" t="s">
        <v>777</v>
      </c>
      <c r="F91" s="276" t="s">
        <v>781</v>
      </c>
      <c r="G91" s="172" t="s">
        <v>782</v>
      </c>
      <c r="H91" s="174" t="s">
        <v>21</v>
      </c>
      <c r="I91" s="249" t="s">
        <v>22</v>
      </c>
      <c r="J91" s="111"/>
      <c r="K91" s="84" t="s">
        <v>64</v>
      </c>
      <c r="L91" s="76"/>
      <c r="M91" s="358" t="s">
        <v>23</v>
      </c>
      <c r="N91" s="358"/>
      <c r="O91" s="358"/>
      <c r="P91" s="358"/>
      <c r="Q91" s="358"/>
      <c r="R91" s="358"/>
      <c r="S91" s="195"/>
      <c r="T91" s="196"/>
      <c r="U91" s="183" t="s">
        <v>783</v>
      </c>
      <c r="V91" s="227" t="s">
        <v>3208</v>
      </c>
      <c r="W91" s="359"/>
    </row>
    <row r="92" spans="1:23" ht="214.5">
      <c r="A92" s="357" t="s">
        <v>784</v>
      </c>
      <c r="B92" s="170"/>
      <c r="C92" s="37" t="s">
        <v>16</v>
      </c>
      <c r="D92" s="178" t="s">
        <v>785</v>
      </c>
      <c r="E92" s="171" t="s">
        <v>777</v>
      </c>
      <c r="F92" s="276" t="s">
        <v>3209</v>
      </c>
      <c r="G92" s="172" t="s">
        <v>778</v>
      </c>
      <c r="H92" s="174" t="s">
        <v>21</v>
      </c>
      <c r="I92" s="249" t="s">
        <v>22</v>
      </c>
      <c r="J92" s="111"/>
      <c r="K92" s="84" t="s">
        <v>23</v>
      </c>
      <c r="L92" s="76"/>
      <c r="M92" s="76"/>
      <c r="N92" s="76"/>
      <c r="O92" s="76"/>
      <c r="P92" s="76"/>
      <c r="Q92" s="76"/>
      <c r="R92" s="76"/>
      <c r="S92" s="176"/>
      <c r="T92" s="211"/>
      <c r="U92" s="212"/>
      <c r="V92" s="37"/>
      <c r="W92" s="359"/>
    </row>
    <row r="93" spans="1:23" ht="214.5">
      <c r="A93" s="357" t="s">
        <v>786</v>
      </c>
      <c r="B93" s="170"/>
      <c r="C93" s="37" t="s">
        <v>16</v>
      </c>
      <c r="D93" s="178" t="s">
        <v>787</v>
      </c>
      <c r="E93" s="171" t="s">
        <v>777</v>
      </c>
      <c r="F93" s="276" t="s">
        <v>3210</v>
      </c>
      <c r="G93" s="172" t="s">
        <v>788</v>
      </c>
      <c r="H93" s="174" t="s">
        <v>21</v>
      </c>
      <c r="I93" s="249" t="s">
        <v>22</v>
      </c>
      <c r="J93" s="111"/>
      <c r="K93" s="84" t="s">
        <v>23</v>
      </c>
      <c r="L93" s="76"/>
      <c r="M93" s="360"/>
      <c r="N93" s="360"/>
      <c r="O93" s="360"/>
      <c r="P93" s="360"/>
      <c r="Q93" s="360"/>
      <c r="R93" s="360"/>
      <c r="S93" s="206"/>
      <c r="T93" s="207"/>
      <c r="U93" s="178"/>
      <c r="V93" s="100"/>
      <c r="W93" s="359"/>
    </row>
    <row r="94" spans="1:23" ht="247.5">
      <c r="A94" s="357" t="s">
        <v>789</v>
      </c>
      <c r="B94" s="170"/>
      <c r="C94" s="37" t="s">
        <v>16</v>
      </c>
      <c r="D94" s="178" t="s">
        <v>790</v>
      </c>
      <c r="E94" s="171" t="s">
        <v>791</v>
      </c>
      <c r="F94" s="276" t="s">
        <v>3211</v>
      </c>
      <c r="G94" s="172" t="s">
        <v>792</v>
      </c>
      <c r="H94" s="174" t="s">
        <v>21</v>
      </c>
      <c r="I94" s="249" t="s">
        <v>531</v>
      </c>
      <c r="J94" s="104"/>
      <c r="K94" s="76"/>
      <c r="L94" s="76" t="s">
        <v>23</v>
      </c>
      <c r="M94" s="175"/>
      <c r="N94" s="175"/>
      <c r="O94" s="175"/>
      <c r="P94" s="175"/>
      <c r="Q94" s="175"/>
      <c r="R94" s="175"/>
      <c r="S94" s="176"/>
      <c r="T94" s="177"/>
      <c r="U94" s="178"/>
      <c r="V94" s="100"/>
      <c r="W94" s="356"/>
    </row>
    <row r="95" spans="1:23" ht="214.5">
      <c r="A95" s="357" t="s">
        <v>793</v>
      </c>
      <c r="B95" s="170"/>
      <c r="C95" s="37" t="s">
        <v>16</v>
      </c>
      <c r="D95" s="343" t="s">
        <v>794</v>
      </c>
      <c r="E95" s="171" t="s">
        <v>791</v>
      </c>
      <c r="F95" s="276" t="s">
        <v>3212</v>
      </c>
      <c r="G95" s="172" t="s">
        <v>795</v>
      </c>
      <c r="H95" s="174" t="s">
        <v>21</v>
      </c>
      <c r="I95" s="249" t="s">
        <v>531</v>
      </c>
      <c r="J95" s="111"/>
      <c r="K95" s="84"/>
      <c r="L95" s="76" t="s">
        <v>23</v>
      </c>
      <c r="M95" s="175"/>
      <c r="N95" s="175"/>
      <c r="O95" s="175"/>
      <c r="P95" s="175"/>
      <c r="Q95" s="175"/>
      <c r="R95" s="175"/>
      <c r="S95" s="176"/>
      <c r="T95" s="177"/>
      <c r="U95" s="178"/>
      <c r="V95" s="100"/>
      <c r="W95" s="356"/>
    </row>
    <row r="96" spans="1:23" ht="198">
      <c r="A96" s="357" t="s">
        <v>796</v>
      </c>
      <c r="B96" s="170"/>
      <c r="C96" s="37" t="s">
        <v>16</v>
      </c>
      <c r="D96" s="343" t="s">
        <v>797</v>
      </c>
      <c r="E96" s="171" t="s">
        <v>791</v>
      </c>
      <c r="F96" s="276" t="s">
        <v>3213</v>
      </c>
      <c r="G96" s="172" t="s">
        <v>798</v>
      </c>
      <c r="H96" s="174" t="s">
        <v>21</v>
      </c>
      <c r="I96" s="249" t="s">
        <v>22</v>
      </c>
      <c r="J96" s="111"/>
      <c r="K96" s="84"/>
      <c r="L96" s="76"/>
      <c r="M96" s="175"/>
      <c r="N96" s="175"/>
      <c r="O96" s="175"/>
      <c r="P96" s="175"/>
      <c r="Q96" s="175"/>
      <c r="R96" s="175" t="s">
        <v>23</v>
      </c>
      <c r="S96" s="176"/>
      <c r="T96" s="177"/>
      <c r="U96" s="178"/>
      <c r="V96" s="100"/>
      <c r="W96" s="359"/>
    </row>
    <row r="97" spans="1:23" ht="70">
      <c r="A97" s="361" t="s">
        <v>799</v>
      </c>
      <c r="B97" s="362"/>
      <c r="C97" s="37" t="s">
        <v>16</v>
      </c>
      <c r="D97" s="277" t="s">
        <v>800</v>
      </c>
      <c r="E97" s="362"/>
      <c r="F97" s="255" t="s">
        <v>801</v>
      </c>
      <c r="G97" s="182"/>
      <c r="H97" s="174" t="s">
        <v>21</v>
      </c>
      <c r="I97" s="249" t="s">
        <v>22</v>
      </c>
      <c r="J97" s="111"/>
      <c r="K97" s="84" t="s">
        <v>23</v>
      </c>
      <c r="L97" s="76"/>
      <c r="M97" s="363"/>
      <c r="N97" s="364"/>
      <c r="O97" s="364"/>
      <c r="P97" s="364"/>
      <c r="Q97" s="364"/>
      <c r="R97" s="364"/>
      <c r="S97" s="365"/>
      <c r="T97" s="366"/>
      <c r="U97" s="367"/>
      <c r="V97" s="37"/>
      <c r="W97" s="243"/>
    </row>
    <row r="98" spans="1:23" ht="46.5" customHeight="1">
      <c r="A98" s="361" t="s">
        <v>802</v>
      </c>
      <c r="B98" s="182"/>
      <c r="C98" s="37" t="s">
        <v>16</v>
      </c>
      <c r="D98" s="277" t="s">
        <v>803</v>
      </c>
      <c r="E98" s="182"/>
      <c r="F98" s="255" t="s">
        <v>804</v>
      </c>
      <c r="G98" s="182"/>
      <c r="H98" s="174" t="s">
        <v>21</v>
      </c>
      <c r="I98" s="249" t="s">
        <v>22</v>
      </c>
      <c r="J98" s="111"/>
      <c r="K98" s="84" t="s">
        <v>23</v>
      </c>
      <c r="L98" s="76"/>
      <c r="M98" s="126"/>
      <c r="N98" s="250"/>
      <c r="O98" s="250"/>
      <c r="P98" s="250"/>
      <c r="Q98" s="250"/>
      <c r="R98" s="250"/>
      <c r="S98" s="251"/>
      <c r="T98" s="252"/>
      <c r="U98" s="253"/>
      <c r="V98" s="37"/>
      <c r="W98" s="243"/>
    </row>
    <row r="99" spans="1:23" ht="56">
      <c r="A99" s="368" t="s">
        <v>805</v>
      </c>
      <c r="B99" s="369"/>
      <c r="C99" s="201" t="s">
        <v>16</v>
      </c>
      <c r="D99" s="370" t="s">
        <v>806</v>
      </c>
      <c r="E99" s="371" t="s">
        <v>626</v>
      </c>
      <c r="F99" s="372" t="s">
        <v>807</v>
      </c>
      <c r="G99" s="369"/>
      <c r="H99" s="373" t="s">
        <v>21</v>
      </c>
      <c r="I99" s="374" t="s">
        <v>22</v>
      </c>
      <c r="J99" s="375"/>
      <c r="K99" s="204"/>
      <c r="L99" s="204"/>
      <c r="M99" s="376"/>
      <c r="N99" s="377"/>
      <c r="O99" s="377"/>
      <c r="P99" s="377"/>
      <c r="Q99" s="377"/>
      <c r="R99" s="377"/>
      <c r="S99" s="251" t="s">
        <v>64</v>
      </c>
      <c r="T99" s="378" t="s">
        <v>3214</v>
      </c>
      <c r="U99" s="379" t="s">
        <v>616</v>
      </c>
      <c r="V99" s="201"/>
      <c r="W99" s="380"/>
    </row>
    <row r="100" spans="1:23" ht="56">
      <c r="A100" s="368" t="s">
        <v>808</v>
      </c>
      <c r="B100" s="369"/>
      <c r="C100" s="201" t="s">
        <v>16</v>
      </c>
      <c r="D100" s="381" t="s">
        <v>809</v>
      </c>
      <c r="E100" s="371" t="s">
        <v>626</v>
      </c>
      <c r="F100" s="372" t="s">
        <v>810</v>
      </c>
      <c r="G100" s="369"/>
      <c r="H100" s="373" t="s">
        <v>21</v>
      </c>
      <c r="I100" s="374" t="s">
        <v>22</v>
      </c>
      <c r="J100" s="375"/>
      <c r="K100" s="204"/>
      <c r="L100" s="204"/>
      <c r="M100" s="376"/>
      <c r="N100" s="377"/>
      <c r="O100" s="377"/>
      <c r="P100" s="377"/>
      <c r="Q100" s="377"/>
      <c r="R100" s="377"/>
      <c r="S100" s="251" t="s">
        <v>64</v>
      </c>
      <c r="T100" s="378" t="s">
        <v>3215</v>
      </c>
      <c r="U100" s="379" t="s">
        <v>616</v>
      </c>
      <c r="V100" s="201"/>
      <c r="W100" s="380"/>
    </row>
    <row r="101" spans="1:23" ht="56">
      <c r="A101" s="382" t="s">
        <v>811</v>
      </c>
      <c r="B101" s="182"/>
      <c r="C101" s="37" t="s">
        <v>16</v>
      </c>
      <c r="D101" s="184" t="s">
        <v>812</v>
      </c>
      <c r="E101" s="181" t="s">
        <v>626</v>
      </c>
      <c r="F101" s="276" t="s">
        <v>813</v>
      </c>
      <c r="G101" s="182"/>
      <c r="H101" s="174" t="s">
        <v>21</v>
      </c>
      <c r="I101" s="249" t="s">
        <v>22</v>
      </c>
      <c r="J101" s="111"/>
      <c r="K101" s="84"/>
      <c r="L101" s="76"/>
      <c r="M101" s="126"/>
      <c r="N101" s="250"/>
      <c r="O101" s="250"/>
      <c r="P101" s="250"/>
      <c r="Q101" s="250"/>
      <c r="R101" s="250"/>
      <c r="S101" s="251" t="s">
        <v>23</v>
      </c>
      <c r="T101" s="252"/>
      <c r="U101" s="253" t="s">
        <v>616</v>
      </c>
      <c r="V101" s="37"/>
      <c r="W101" s="243"/>
    </row>
    <row r="102" spans="1:23" ht="56">
      <c r="A102" s="382" t="s">
        <v>814</v>
      </c>
      <c r="B102" s="185"/>
      <c r="C102" s="37" t="s">
        <v>16</v>
      </c>
      <c r="D102" s="277" t="s">
        <v>815</v>
      </c>
      <c r="E102" s="181" t="s">
        <v>626</v>
      </c>
      <c r="F102" s="383" t="s">
        <v>816</v>
      </c>
      <c r="G102" s="384"/>
      <c r="H102" s="174" t="s">
        <v>21</v>
      </c>
      <c r="I102" s="385" t="s">
        <v>22</v>
      </c>
      <c r="J102" s="111"/>
      <c r="K102" s="84"/>
      <c r="L102" s="76"/>
      <c r="M102" s="126"/>
      <c r="N102" s="250"/>
      <c r="O102" s="250"/>
      <c r="P102" s="250"/>
      <c r="Q102" s="250"/>
      <c r="R102" s="250"/>
      <c r="S102" s="251" t="s">
        <v>23</v>
      </c>
      <c r="T102" s="252"/>
      <c r="U102" s="253" t="s">
        <v>616</v>
      </c>
      <c r="V102" s="37"/>
      <c r="W102" s="243"/>
    </row>
    <row r="103" spans="1:23" ht="112">
      <c r="A103" s="361" t="s">
        <v>817</v>
      </c>
      <c r="B103" s="182"/>
      <c r="C103" s="37" t="s">
        <v>16</v>
      </c>
      <c r="D103" s="277" t="s">
        <v>818</v>
      </c>
      <c r="E103" s="182"/>
      <c r="F103" s="254" t="s">
        <v>819</v>
      </c>
      <c r="G103" s="182"/>
      <c r="H103" s="174" t="s">
        <v>21</v>
      </c>
      <c r="I103" s="249" t="s">
        <v>22</v>
      </c>
      <c r="J103" s="111"/>
      <c r="K103" s="84" t="s">
        <v>23</v>
      </c>
      <c r="L103" s="76"/>
      <c r="M103" s="126"/>
      <c r="N103" s="250"/>
      <c r="O103" s="250"/>
      <c r="P103" s="250"/>
      <c r="Q103" s="250"/>
      <c r="R103" s="250"/>
      <c r="S103" s="251"/>
      <c r="T103" s="252"/>
      <c r="U103" s="253"/>
      <c r="V103" s="37"/>
      <c r="W103" s="243"/>
    </row>
    <row r="104" spans="1:23" ht="70">
      <c r="A104" s="386" t="s">
        <v>820</v>
      </c>
      <c r="B104" s="127"/>
      <c r="C104" s="37" t="s">
        <v>16</v>
      </c>
      <c r="D104" s="281" t="s">
        <v>821</v>
      </c>
      <c r="E104" s="127"/>
      <c r="F104" s="387" t="s">
        <v>822</v>
      </c>
      <c r="G104" s="128"/>
      <c r="H104" s="217" t="s">
        <v>21</v>
      </c>
      <c r="I104" s="169" t="s">
        <v>22</v>
      </c>
      <c r="J104" s="189"/>
      <c r="K104" s="84" t="s">
        <v>23</v>
      </c>
      <c r="L104" s="76"/>
      <c r="M104" s="126"/>
      <c r="N104" s="250"/>
      <c r="O104" s="250"/>
      <c r="P104" s="250"/>
      <c r="Q104" s="250"/>
      <c r="R104" s="250"/>
      <c r="S104" s="251"/>
      <c r="T104" s="388"/>
      <c r="U104" s="301"/>
      <c r="V104" s="59"/>
      <c r="W104" s="285"/>
    </row>
    <row r="105" spans="1:23" ht="84">
      <c r="A105" s="386" t="s">
        <v>823</v>
      </c>
      <c r="B105" s="127"/>
      <c r="C105" s="37" t="s">
        <v>16</v>
      </c>
      <c r="D105" s="281" t="s">
        <v>821</v>
      </c>
      <c r="E105" s="389"/>
      <c r="F105" s="390" t="s">
        <v>824</v>
      </c>
      <c r="G105" s="128"/>
      <c r="H105" s="217" t="s">
        <v>21</v>
      </c>
      <c r="I105" s="169" t="s">
        <v>22</v>
      </c>
      <c r="J105" s="189"/>
      <c r="K105" s="84" t="s">
        <v>23</v>
      </c>
      <c r="L105" s="76"/>
      <c r="M105" s="126"/>
      <c r="N105" s="250"/>
      <c r="O105" s="250"/>
      <c r="P105" s="250"/>
      <c r="Q105" s="250"/>
      <c r="R105" s="250"/>
      <c r="S105" s="251"/>
      <c r="T105" s="388"/>
      <c r="U105" s="301"/>
      <c r="V105" s="59"/>
      <c r="W105" s="285"/>
    </row>
    <row r="106" spans="1:23" ht="126">
      <c r="A106" s="386" t="s">
        <v>825</v>
      </c>
      <c r="B106" s="389"/>
      <c r="C106" s="37" t="s">
        <v>16</v>
      </c>
      <c r="D106" s="281" t="s">
        <v>826</v>
      </c>
      <c r="E106" s="389"/>
      <c r="F106" s="387" t="s">
        <v>827</v>
      </c>
      <c r="G106" s="389"/>
      <c r="H106" s="217" t="s">
        <v>21</v>
      </c>
      <c r="I106" s="350" t="s">
        <v>22</v>
      </c>
      <c r="J106" s="225"/>
      <c r="K106" s="76" t="s">
        <v>23</v>
      </c>
      <c r="L106" s="76"/>
      <c r="M106" s="126"/>
      <c r="N106" s="250"/>
      <c r="O106" s="250"/>
      <c r="P106" s="250"/>
      <c r="Q106" s="250"/>
      <c r="R106" s="250"/>
      <c r="S106" s="251"/>
      <c r="T106" s="388"/>
      <c r="U106" s="391"/>
      <c r="V106" s="59"/>
      <c r="W106" s="285"/>
    </row>
    <row r="107" spans="1:23" ht="98">
      <c r="A107" s="361" t="s">
        <v>828</v>
      </c>
      <c r="B107" s="392"/>
      <c r="C107" s="37" t="s">
        <v>16</v>
      </c>
      <c r="D107" s="258" t="s">
        <v>829</v>
      </c>
      <c r="E107" s="393"/>
      <c r="F107" s="276" t="s">
        <v>830</v>
      </c>
      <c r="G107" s="394"/>
      <c r="H107" s="174" t="s">
        <v>21</v>
      </c>
      <c r="I107" s="350" t="s">
        <v>22</v>
      </c>
      <c r="J107" s="189"/>
      <c r="K107" s="84"/>
      <c r="L107" s="76"/>
      <c r="M107" s="76"/>
      <c r="N107" s="358"/>
      <c r="O107" s="358"/>
      <c r="P107" s="358"/>
      <c r="Q107" s="358"/>
      <c r="R107" s="358"/>
      <c r="S107" s="195" t="s">
        <v>23</v>
      </c>
      <c r="T107" s="196"/>
      <c r="U107" s="395"/>
      <c r="V107" s="100"/>
      <c r="W107" s="352"/>
    </row>
    <row r="108" spans="1:23" ht="84">
      <c r="A108" s="386" t="s">
        <v>831</v>
      </c>
      <c r="B108" s="350"/>
      <c r="C108" s="37" t="s">
        <v>16</v>
      </c>
      <c r="D108" s="192" t="s">
        <v>832</v>
      </c>
      <c r="E108" s="217"/>
      <c r="F108" s="387" t="s">
        <v>833</v>
      </c>
      <c r="G108" s="396"/>
      <c r="H108" s="217" t="s">
        <v>21</v>
      </c>
      <c r="I108" s="389" t="s">
        <v>22</v>
      </c>
      <c r="J108" s="189"/>
      <c r="K108" s="84"/>
      <c r="L108" s="76" t="s">
        <v>64</v>
      </c>
      <c r="M108" s="126"/>
      <c r="N108" s="76"/>
      <c r="O108" s="76"/>
      <c r="P108" s="76"/>
      <c r="Q108" s="76"/>
      <c r="R108" s="76"/>
      <c r="S108" s="397"/>
      <c r="T108" s="230"/>
      <c r="U108" s="217"/>
      <c r="V108" t="s">
        <v>3216</v>
      </c>
      <c r="W108" s="335"/>
    </row>
    <row r="109" spans="1:23" ht="28">
      <c r="A109" s="398" t="s">
        <v>834</v>
      </c>
      <c r="B109" s="399"/>
      <c r="C109" s="201" t="s">
        <v>16</v>
      </c>
      <c r="D109" s="400" t="s">
        <v>835</v>
      </c>
      <c r="E109" s="400" t="s">
        <v>836</v>
      </c>
      <c r="F109" s="401"/>
      <c r="G109" s="402"/>
      <c r="H109" s="403" t="s">
        <v>21</v>
      </c>
      <c r="I109" s="402" t="s">
        <v>22</v>
      </c>
      <c r="J109" s="404"/>
      <c r="K109" s="204"/>
      <c r="L109" s="204"/>
      <c r="M109" s="376"/>
      <c r="N109" s="377"/>
      <c r="O109" s="377"/>
      <c r="P109" s="377"/>
      <c r="Q109" s="377"/>
      <c r="R109" s="377"/>
      <c r="S109" s="251"/>
      <c r="T109" s="388"/>
      <c r="U109" s="405" t="s">
        <v>633</v>
      </c>
      <c r="V109" s="203"/>
      <c r="W109" s="406"/>
    </row>
    <row r="110" spans="1:23" ht="28">
      <c r="A110" s="398" t="s">
        <v>837</v>
      </c>
      <c r="B110" s="399"/>
      <c r="C110" s="201" t="s">
        <v>16</v>
      </c>
      <c r="D110" s="400" t="s">
        <v>838</v>
      </c>
      <c r="E110" s="400"/>
      <c r="F110" s="401"/>
      <c r="G110" s="402"/>
      <c r="H110" s="403" t="s">
        <v>21</v>
      </c>
      <c r="I110" s="402" t="s">
        <v>22</v>
      </c>
      <c r="J110" s="404"/>
      <c r="K110" s="204"/>
      <c r="L110" s="204"/>
      <c r="M110" s="376"/>
      <c r="N110" s="377"/>
      <c r="O110" s="377"/>
      <c r="P110" s="377"/>
      <c r="Q110" s="377"/>
      <c r="R110" s="377"/>
      <c r="S110" s="251"/>
      <c r="T110" s="388"/>
      <c r="U110" s="405" t="s">
        <v>633</v>
      </c>
      <c r="V110" s="203"/>
      <c r="W110" s="406"/>
    </row>
    <row r="111" spans="1:23" ht="28">
      <c r="A111" s="398" t="s">
        <v>839</v>
      </c>
      <c r="B111" s="399"/>
      <c r="C111" s="201" t="s">
        <v>16</v>
      </c>
      <c r="D111" s="400" t="s">
        <v>840</v>
      </c>
      <c r="E111" s="400"/>
      <c r="F111" s="401"/>
      <c r="G111" s="402"/>
      <c r="H111" s="403" t="s">
        <v>21</v>
      </c>
      <c r="I111" s="402" t="s">
        <v>22</v>
      </c>
      <c r="J111" s="404"/>
      <c r="K111" s="204"/>
      <c r="L111" s="204"/>
      <c r="M111" s="376"/>
      <c r="N111" s="377"/>
      <c r="O111" s="377"/>
      <c r="P111" s="377"/>
      <c r="Q111" s="377"/>
      <c r="R111" s="377"/>
      <c r="S111" s="251"/>
      <c r="T111" s="388"/>
      <c r="U111" s="405" t="s">
        <v>633</v>
      </c>
      <c r="V111" s="203"/>
      <c r="W111" s="406"/>
    </row>
    <row r="112" spans="1:23" ht="168">
      <c r="A112" s="171" t="s">
        <v>841</v>
      </c>
      <c r="B112" s="174"/>
      <c r="C112" s="37" t="s">
        <v>16</v>
      </c>
      <c r="D112" s="106" t="s">
        <v>842</v>
      </c>
      <c r="E112" s="106" t="s">
        <v>843</v>
      </c>
      <c r="F112" s="276" t="s">
        <v>3217</v>
      </c>
      <c r="G112" s="249"/>
      <c r="H112" s="174" t="s">
        <v>21</v>
      </c>
      <c r="I112" s="249" t="s">
        <v>22</v>
      </c>
      <c r="J112" s="111"/>
      <c r="K112" s="84" t="s">
        <v>23</v>
      </c>
      <c r="L112" s="76"/>
      <c r="M112" s="76"/>
      <c r="N112" s="175"/>
      <c r="O112" s="175"/>
      <c r="P112" s="175"/>
      <c r="Q112" s="175"/>
      <c r="R112" s="175"/>
      <c r="S112" s="176"/>
      <c r="T112" s="211"/>
      <c r="U112" s="407"/>
      <c r="V112" s="116"/>
      <c r="W112" s="243"/>
    </row>
    <row r="113" spans="1:23" ht="112">
      <c r="A113" s="171" t="s">
        <v>844</v>
      </c>
      <c r="B113" s="174"/>
      <c r="C113" s="37" t="s">
        <v>16</v>
      </c>
      <c r="D113" s="408" t="s">
        <v>845</v>
      </c>
      <c r="E113" s="106"/>
      <c r="F113" s="184" t="s">
        <v>3218</v>
      </c>
      <c r="G113" s="249"/>
      <c r="H113" s="174" t="s">
        <v>21</v>
      </c>
      <c r="I113" s="249" t="s">
        <v>22</v>
      </c>
      <c r="J113" s="104"/>
      <c r="K113" s="76" t="s">
        <v>23</v>
      </c>
      <c r="L113" s="76"/>
      <c r="M113" s="76"/>
      <c r="N113" s="175"/>
      <c r="O113" s="175"/>
      <c r="P113" s="175"/>
      <c r="Q113" s="175"/>
      <c r="R113" s="175"/>
      <c r="S113" s="176"/>
      <c r="T113" s="211"/>
      <c r="U113" s="407"/>
      <c r="V113" s="116"/>
      <c r="W113" s="243"/>
    </row>
    <row r="114" spans="1:23" ht="99">
      <c r="A114" s="171" t="s">
        <v>846</v>
      </c>
      <c r="B114" s="174"/>
      <c r="C114" s="37" t="s">
        <v>16</v>
      </c>
      <c r="D114" s="409" t="s">
        <v>847</v>
      </c>
      <c r="E114" s="106"/>
      <c r="F114" s="184" t="s">
        <v>3219</v>
      </c>
      <c r="G114" s="249"/>
      <c r="H114" s="249" t="s">
        <v>21</v>
      </c>
      <c r="I114" s="249" t="s">
        <v>22</v>
      </c>
      <c r="J114" s="111"/>
      <c r="K114" s="84" t="s">
        <v>23</v>
      </c>
      <c r="L114" s="76"/>
      <c r="M114" s="76"/>
      <c r="N114" s="175"/>
      <c r="O114" s="175"/>
      <c r="P114" s="175"/>
      <c r="Q114" s="175"/>
      <c r="R114" s="175"/>
      <c r="S114" s="176"/>
      <c r="T114" s="211"/>
      <c r="U114" s="407"/>
      <c r="V114" s="116"/>
      <c r="W114" s="243"/>
    </row>
    <row r="115" spans="1:23" ht="409.5">
      <c r="A115" s="357" t="s">
        <v>848</v>
      </c>
      <c r="B115" s="174"/>
      <c r="C115" s="37" t="s">
        <v>16</v>
      </c>
      <c r="D115" s="409" t="s">
        <v>849</v>
      </c>
      <c r="E115" s="106" t="s">
        <v>850</v>
      </c>
      <c r="F115" s="184" t="s">
        <v>3220</v>
      </c>
      <c r="G115" s="361"/>
      <c r="H115" s="174" t="s">
        <v>21</v>
      </c>
      <c r="I115" s="249" t="s">
        <v>22</v>
      </c>
      <c r="J115" s="111"/>
      <c r="K115" s="84" t="s">
        <v>23</v>
      </c>
      <c r="L115" s="76"/>
      <c r="M115" s="76"/>
      <c r="N115" s="358"/>
      <c r="O115" s="358"/>
      <c r="P115" s="358"/>
      <c r="Q115" s="358"/>
      <c r="R115" s="358"/>
      <c r="S115" s="195"/>
      <c r="T115" s="410"/>
      <c r="U115" s="212"/>
      <c r="V115" s="37"/>
      <c r="W115" s="243"/>
    </row>
    <row r="116" spans="1:23" ht="297">
      <c r="A116" s="411" t="s">
        <v>851</v>
      </c>
      <c r="B116" s="412"/>
      <c r="C116" s="238" t="s">
        <v>16</v>
      </c>
      <c r="D116" s="413" t="s">
        <v>3221</v>
      </c>
      <c r="E116" s="414" t="s">
        <v>626</v>
      </c>
      <c r="F116" s="415" t="s">
        <v>852</v>
      </c>
      <c r="G116" s="416" t="s">
        <v>853</v>
      </c>
      <c r="H116" s="417" t="s">
        <v>21</v>
      </c>
      <c r="I116" s="417" t="s">
        <v>531</v>
      </c>
      <c r="J116" s="316"/>
      <c r="K116" s="317"/>
      <c r="L116" s="317"/>
      <c r="M116" s="418"/>
      <c r="N116" s="158"/>
      <c r="O116" s="158"/>
      <c r="P116" s="158"/>
      <c r="Q116" s="158"/>
      <c r="R116" s="158"/>
      <c r="S116" s="251"/>
      <c r="T116" s="419" t="s">
        <v>854</v>
      </c>
      <c r="U116" s="420" t="s">
        <v>616</v>
      </c>
      <c r="V116" s="238"/>
      <c r="W116" s="421"/>
    </row>
    <row r="117" spans="1:23" ht="42">
      <c r="A117" s="357" t="s">
        <v>855</v>
      </c>
      <c r="B117" s="422"/>
      <c r="C117" s="37" t="s">
        <v>16</v>
      </c>
      <c r="D117" s="423" t="s">
        <v>856</v>
      </c>
      <c r="E117" s="424" t="s">
        <v>857</v>
      </c>
      <c r="F117" s="425" t="s">
        <v>858</v>
      </c>
      <c r="G117" s="426" t="s">
        <v>859</v>
      </c>
      <c r="H117" s="174" t="s">
        <v>21</v>
      </c>
      <c r="I117" s="427" t="s">
        <v>531</v>
      </c>
      <c r="J117" s="111"/>
      <c r="K117" s="84"/>
      <c r="L117" s="84"/>
      <c r="M117" s="76"/>
      <c r="N117" s="428"/>
      <c r="O117" s="428"/>
      <c r="P117" s="428"/>
      <c r="Q117" s="428"/>
      <c r="R117" s="428"/>
      <c r="S117" s="429" t="s">
        <v>23</v>
      </c>
      <c r="T117" s="430"/>
      <c r="U117" s="431" t="s">
        <v>860</v>
      </c>
      <c r="V117" s="432"/>
      <c r="W117" s="243"/>
    </row>
    <row r="118" spans="1:23" ht="140">
      <c r="A118" s="118" t="s">
        <v>861</v>
      </c>
      <c r="B118" s="75"/>
      <c r="C118" s="37" t="s">
        <v>16</v>
      </c>
      <c r="D118" s="433" t="s">
        <v>862</v>
      </c>
      <c r="E118" s="434" t="s">
        <v>863</v>
      </c>
      <c r="F118" s="266" t="s">
        <v>864</v>
      </c>
      <c r="G118" s="435" t="s">
        <v>853</v>
      </c>
      <c r="H118" s="217" t="s">
        <v>21</v>
      </c>
      <c r="I118" s="267" t="s">
        <v>531</v>
      </c>
      <c r="J118" s="84"/>
      <c r="K118" s="84"/>
      <c r="L118" s="84"/>
      <c r="M118" s="436"/>
      <c r="N118" s="76"/>
      <c r="O118" s="76"/>
      <c r="P118" s="76"/>
      <c r="Q118" s="76"/>
      <c r="R118" s="76"/>
      <c r="S118" s="251" t="s">
        <v>23</v>
      </c>
      <c r="T118" s="252"/>
      <c r="U118" s="253" t="s">
        <v>616</v>
      </c>
      <c r="V118" s="37"/>
      <c r="W118" s="243"/>
    </row>
    <row r="119" spans="1:23" ht="154">
      <c r="A119" s="357" t="s">
        <v>865</v>
      </c>
      <c r="B119" s="422"/>
      <c r="C119" s="37" t="s">
        <v>16</v>
      </c>
      <c r="D119" s="423" t="s">
        <v>866</v>
      </c>
      <c r="E119" s="424" t="s">
        <v>621</v>
      </c>
      <c r="F119" s="437" t="s">
        <v>867</v>
      </c>
      <c r="G119" s="426"/>
      <c r="H119" s="174" t="s">
        <v>21</v>
      </c>
      <c r="I119" s="427" t="s">
        <v>531</v>
      </c>
      <c r="J119" s="111"/>
      <c r="K119" s="84"/>
      <c r="L119" s="84"/>
      <c r="M119" s="436"/>
      <c r="N119" s="438"/>
      <c r="O119" s="438"/>
      <c r="P119" s="438"/>
      <c r="Q119" s="438"/>
      <c r="R119" s="438"/>
      <c r="S119" s="439" t="s">
        <v>23</v>
      </c>
      <c r="T119" s="440"/>
      <c r="U119" s="441"/>
      <c r="V119" s="75"/>
      <c r="W119" s="243"/>
    </row>
    <row r="120" spans="1:23" ht="196">
      <c r="A120" s="118" t="s">
        <v>868</v>
      </c>
      <c r="B120" s="75"/>
      <c r="C120" s="37" t="s">
        <v>16</v>
      </c>
      <c r="D120" s="433" t="s">
        <v>869</v>
      </c>
      <c r="E120" s="434" t="s">
        <v>626</v>
      </c>
      <c r="F120" s="266" t="s">
        <v>870</v>
      </c>
      <c r="G120" s="442"/>
      <c r="H120" s="174" t="s">
        <v>21</v>
      </c>
      <c r="I120" s="267" t="s">
        <v>531</v>
      </c>
      <c r="J120" s="84"/>
      <c r="K120" s="84"/>
      <c r="L120" s="84"/>
      <c r="M120" s="436"/>
      <c r="N120" s="76"/>
      <c r="O120" s="76"/>
      <c r="P120" s="76"/>
      <c r="Q120" s="76"/>
      <c r="R120" s="76"/>
      <c r="S120" s="251" t="s">
        <v>23</v>
      </c>
      <c r="T120" s="252"/>
      <c r="U120" s="253" t="s">
        <v>616</v>
      </c>
      <c r="V120" s="37"/>
      <c r="W120" s="243"/>
    </row>
    <row r="121" spans="1:23" ht="182">
      <c r="A121" s="357" t="s">
        <v>871</v>
      </c>
      <c r="B121" s="422"/>
      <c r="C121" s="37" t="s">
        <v>16</v>
      </c>
      <c r="D121" s="423" t="s">
        <v>872</v>
      </c>
      <c r="E121" s="424" t="s">
        <v>626</v>
      </c>
      <c r="F121" s="425" t="s">
        <v>873</v>
      </c>
      <c r="G121" s="426"/>
      <c r="H121" s="174" t="s">
        <v>21</v>
      </c>
      <c r="I121" s="427" t="s">
        <v>531</v>
      </c>
      <c r="J121" s="111"/>
      <c r="K121" s="84"/>
      <c r="L121" s="84"/>
      <c r="M121" s="436"/>
      <c r="N121" s="76"/>
      <c r="O121" s="76"/>
      <c r="P121" s="76"/>
      <c r="Q121" s="76"/>
      <c r="R121" s="76"/>
      <c r="S121" s="251" t="s">
        <v>23</v>
      </c>
      <c r="T121" s="252"/>
      <c r="U121" s="253" t="s">
        <v>616</v>
      </c>
      <c r="V121" s="37"/>
      <c r="W121" s="243"/>
    </row>
    <row r="122" spans="1:23" ht="28">
      <c r="A122" s="151" t="s">
        <v>874</v>
      </c>
      <c r="B122" s="443"/>
      <c r="C122" s="238" t="s">
        <v>16</v>
      </c>
      <c r="D122" s="444" t="s">
        <v>875</v>
      </c>
      <c r="E122" s="445" t="s">
        <v>626</v>
      </c>
      <c r="F122" s="446" t="s">
        <v>876</v>
      </c>
      <c r="G122" s="447"/>
      <c r="H122" s="282" t="s">
        <v>21</v>
      </c>
      <c r="I122" s="448" t="s">
        <v>531</v>
      </c>
      <c r="J122" s="317"/>
      <c r="K122" s="317"/>
      <c r="L122" s="317"/>
      <c r="M122" s="449"/>
      <c r="N122" s="158"/>
      <c r="O122" s="158"/>
      <c r="P122" s="158"/>
      <c r="Q122" s="158"/>
      <c r="R122" s="158"/>
      <c r="S122" s="251"/>
      <c r="T122" s="450" t="s">
        <v>877</v>
      </c>
      <c r="U122" s="420" t="s">
        <v>616</v>
      </c>
      <c r="V122" s="238"/>
      <c r="W122" s="421"/>
    </row>
    <row r="123" spans="1:23" ht="154">
      <c r="A123" s="411" t="s">
        <v>878</v>
      </c>
      <c r="B123" s="412"/>
      <c r="C123" s="238" t="s">
        <v>16</v>
      </c>
      <c r="D123" s="451" t="s">
        <v>879</v>
      </c>
      <c r="E123" s="414" t="s">
        <v>626</v>
      </c>
      <c r="F123" s="415" t="s">
        <v>880</v>
      </c>
      <c r="G123" s="452"/>
      <c r="H123" s="282" t="s">
        <v>21</v>
      </c>
      <c r="I123" s="417" t="s">
        <v>531</v>
      </c>
      <c r="J123" s="316"/>
      <c r="K123" s="317"/>
      <c r="L123" s="317"/>
      <c r="M123" s="449"/>
      <c r="N123" s="453"/>
      <c r="O123" s="453"/>
      <c r="P123" s="453"/>
      <c r="Q123" s="453"/>
      <c r="R123" s="453"/>
      <c r="S123" s="439"/>
      <c r="T123" s="454" t="s">
        <v>881</v>
      </c>
      <c r="U123" s="420" t="s">
        <v>616</v>
      </c>
      <c r="V123" s="238"/>
      <c r="W123" s="421"/>
    </row>
    <row r="124" spans="1:23" ht="140">
      <c r="A124" s="455" t="s">
        <v>882</v>
      </c>
      <c r="B124" s="456"/>
      <c r="C124" s="37" t="s">
        <v>16</v>
      </c>
      <c r="D124" s="457" t="s">
        <v>883</v>
      </c>
      <c r="E124" s="458" t="s">
        <v>626</v>
      </c>
      <c r="F124" s="459" t="s">
        <v>884</v>
      </c>
      <c r="G124" s="460"/>
      <c r="H124" s="217" t="s">
        <v>21</v>
      </c>
      <c r="I124" s="461" t="s">
        <v>531</v>
      </c>
      <c r="J124" s="189"/>
      <c r="K124" s="84"/>
      <c r="L124" s="84"/>
      <c r="M124" s="436"/>
      <c r="N124" s="76"/>
      <c r="O124" s="76"/>
      <c r="P124" s="76"/>
      <c r="Q124" s="76"/>
      <c r="R124" s="76"/>
      <c r="S124" s="251" t="s">
        <v>23</v>
      </c>
      <c r="T124" s="252"/>
      <c r="U124" s="253" t="s">
        <v>616</v>
      </c>
      <c r="V124" s="37"/>
      <c r="W124" s="243"/>
    </row>
    <row r="125" spans="1:23" ht="140">
      <c r="A125" s="411" t="s">
        <v>885</v>
      </c>
      <c r="B125" s="412"/>
      <c r="C125" s="238" t="s">
        <v>16</v>
      </c>
      <c r="D125" s="451" t="s">
        <v>886</v>
      </c>
      <c r="E125" s="414" t="s">
        <v>626</v>
      </c>
      <c r="F125" s="415" t="s">
        <v>887</v>
      </c>
      <c r="G125" s="452"/>
      <c r="H125" s="282" t="s">
        <v>21</v>
      </c>
      <c r="I125" s="417" t="s">
        <v>531</v>
      </c>
      <c r="J125" s="316"/>
      <c r="K125" s="317"/>
      <c r="L125" s="317"/>
      <c r="M125" s="449"/>
      <c r="N125" s="158"/>
      <c r="O125" s="158"/>
      <c r="P125" s="158"/>
      <c r="Q125" s="158"/>
      <c r="R125" s="158"/>
      <c r="S125" s="462"/>
      <c r="T125" s="463" t="s">
        <v>888</v>
      </c>
      <c r="U125" s="420" t="s">
        <v>616</v>
      </c>
      <c r="V125" s="238"/>
      <c r="W125" s="421"/>
    </row>
    <row r="126" spans="1:23" ht="140">
      <c r="A126" s="455" t="s">
        <v>889</v>
      </c>
      <c r="B126" s="456"/>
      <c r="C126" s="37" t="s">
        <v>16</v>
      </c>
      <c r="D126" s="464" t="s">
        <v>890</v>
      </c>
      <c r="E126" s="458" t="s">
        <v>626</v>
      </c>
      <c r="F126" s="459" t="s">
        <v>891</v>
      </c>
      <c r="G126" s="460"/>
      <c r="H126" s="217" t="s">
        <v>21</v>
      </c>
      <c r="I126" s="461" t="s">
        <v>531</v>
      </c>
      <c r="J126" s="189"/>
      <c r="K126" s="84"/>
      <c r="L126" s="84"/>
      <c r="M126" s="436"/>
      <c r="N126" s="76"/>
      <c r="O126" s="76"/>
      <c r="P126" s="76"/>
      <c r="Q126" s="76"/>
      <c r="R126" s="76"/>
      <c r="S126" s="251" t="s">
        <v>23</v>
      </c>
      <c r="T126" s="252"/>
      <c r="U126" s="253" t="s">
        <v>616</v>
      </c>
      <c r="V126" s="37"/>
      <c r="W126" s="243"/>
    </row>
    <row r="127" spans="1:23" ht="154">
      <c r="A127" s="411" t="s">
        <v>892</v>
      </c>
      <c r="B127" s="412"/>
      <c r="C127" s="238" t="s">
        <v>16</v>
      </c>
      <c r="D127" s="451" t="s">
        <v>893</v>
      </c>
      <c r="E127" s="414" t="s">
        <v>626</v>
      </c>
      <c r="F127" s="465" t="s">
        <v>894</v>
      </c>
      <c r="G127" s="452"/>
      <c r="H127" s="282" t="s">
        <v>21</v>
      </c>
      <c r="I127" s="417" t="s">
        <v>531</v>
      </c>
      <c r="J127" s="316"/>
      <c r="K127" s="317"/>
      <c r="L127" s="317"/>
      <c r="M127" s="449"/>
      <c r="N127" s="453"/>
      <c r="O127" s="453"/>
      <c r="P127" s="453"/>
      <c r="Q127" s="453"/>
      <c r="R127" s="453"/>
      <c r="S127" s="466"/>
      <c r="T127" s="467" t="s">
        <v>888</v>
      </c>
      <c r="U127" s="420" t="s">
        <v>616</v>
      </c>
      <c r="V127" s="238"/>
      <c r="W127" s="421"/>
    </row>
    <row r="128" spans="1:23" ht="140">
      <c r="A128" s="118" t="s">
        <v>895</v>
      </c>
      <c r="B128" s="75"/>
      <c r="C128" s="37" t="s">
        <v>16</v>
      </c>
      <c r="D128" s="433" t="s">
        <v>896</v>
      </c>
      <c r="E128" s="434" t="s">
        <v>626</v>
      </c>
      <c r="F128" s="266" t="s">
        <v>897</v>
      </c>
      <c r="G128" s="442"/>
      <c r="H128" s="174" t="s">
        <v>21</v>
      </c>
      <c r="I128" s="267" t="s">
        <v>531</v>
      </c>
      <c r="J128" s="84"/>
      <c r="K128" s="84"/>
      <c r="L128" s="84"/>
      <c r="M128" s="436"/>
      <c r="N128" s="76"/>
      <c r="O128" s="76"/>
      <c r="P128" s="76"/>
      <c r="Q128" s="76"/>
      <c r="R128" s="76"/>
      <c r="S128" s="251" t="s">
        <v>23</v>
      </c>
      <c r="T128" s="252"/>
      <c r="U128" s="253" t="s">
        <v>616</v>
      </c>
      <c r="V128" s="37"/>
      <c r="W128" s="243"/>
    </row>
    <row r="129" spans="1:23" ht="140">
      <c r="A129" s="455" t="s">
        <v>898</v>
      </c>
      <c r="B129" s="456"/>
      <c r="C129" s="37" t="s">
        <v>16</v>
      </c>
      <c r="D129" s="457" t="s">
        <v>899</v>
      </c>
      <c r="E129" s="458" t="s">
        <v>626</v>
      </c>
      <c r="F129" s="459" t="s">
        <v>897</v>
      </c>
      <c r="G129" s="460"/>
      <c r="H129" s="217" t="s">
        <v>21</v>
      </c>
      <c r="I129" s="461" t="s">
        <v>531</v>
      </c>
      <c r="J129" s="189"/>
      <c r="K129" s="84"/>
      <c r="L129" s="84"/>
      <c r="M129" s="436"/>
      <c r="N129" s="76"/>
      <c r="O129" s="76"/>
      <c r="P129" s="76"/>
      <c r="Q129" s="76"/>
      <c r="R129" s="76"/>
      <c r="S129" s="251" t="s">
        <v>23</v>
      </c>
      <c r="T129" s="252"/>
      <c r="U129" s="253" t="s">
        <v>616</v>
      </c>
      <c r="V129" s="37"/>
      <c r="W129" s="285"/>
    </row>
    <row r="130" spans="1:23" ht="140">
      <c r="A130" s="118" t="s">
        <v>900</v>
      </c>
      <c r="B130" s="75"/>
      <c r="C130" s="37" t="s">
        <v>16</v>
      </c>
      <c r="D130" s="433" t="s">
        <v>901</v>
      </c>
      <c r="E130" s="434" t="s">
        <v>626</v>
      </c>
      <c r="F130" s="266" t="s">
        <v>902</v>
      </c>
      <c r="G130" s="468"/>
      <c r="H130" s="174" t="s">
        <v>21</v>
      </c>
      <c r="I130" s="267" t="s">
        <v>531</v>
      </c>
      <c r="J130" s="76"/>
      <c r="K130" s="76"/>
      <c r="L130" s="84"/>
      <c r="M130" s="436"/>
      <c r="N130" s="76"/>
      <c r="O130" s="76"/>
      <c r="P130" s="76"/>
      <c r="Q130" s="76"/>
      <c r="R130" s="76"/>
      <c r="S130" s="251" t="s">
        <v>23</v>
      </c>
      <c r="T130" s="252"/>
      <c r="U130" s="253" t="s">
        <v>616</v>
      </c>
      <c r="V130" s="37"/>
      <c r="W130" s="243"/>
    </row>
    <row r="131" spans="1:23" ht="140">
      <c r="A131" s="357" t="s">
        <v>903</v>
      </c>
      <c r="B131" s="422"/>
      <c r="C131" s="37" t="s">
        <v>16</v>
      </c>
      <c r="D131" s="423" t="s">
        <v>904</v>
      </c>
      <c r="E131" s="424" t="s">
        <v>626</v>
      </c>
      <c r="F131" s="437" t="s">
        <v>902</v>
      </c>
      <c r="G131" s="469"/>
      <c r="H131" s="174" t="s">
        <v>21</v>
      </c>
      <c r="I131" s="427" t="s">
        <v>531</v>
      </c>
      <c r="J131" s="104"/>
      <c r="K131" s="76"/>
      <c r="L131" s="84"/>
      <c r="M131" s="436"/>
      <c r="N131" s="76"/>
      <c r="O131" s="76"/>
      <c r="P131" s="76"/>
      <c r="Q131" s="76"/>
      <c r="R131" s="76"/>
      <c r="S131" s="251" t="s">
        <v>23</v>
      </c>
      <c r="T131" s="252"/>
      <c r="U131" s="253" t="s">
        <v>616</v>
      </c>
      <c r="V131" s="37"/>
      <c r="W131" s="243"/>
    </row>
    <row r="132" spans="1:23" ht="140">
      <c r="A132" s="118" t="s">
        <v>905</v>
      </c>
      <c r="B132" s="75"/>
      <c r="C132" s="37" t="s">
        <v>16</v>
      </c>
      <c r="D132" s="433" t="s">
        <v>906</v>
      </c>
      <c r="E132" s="434" t="s">
        <v>3222</v>
      </c>
      <c r="F132" s="266" t="s">
        <v>907</v>
      </c>
      <c r="G132" s="468"/>
      <c r="H132" s="174" t="s">
        <v>21</v>
      </c>
      <c r="I132" s="267" t="s">
        <v>531</v>
      </c>
      <c r="J132" s="84"/>
      <c r="K132" s="84"/>
      <c r="L132" s="84"/>
      <c r="M132" s="436"/>
      <c r="N132" s="438"/>
      <c r="O132" s="438"/>
      <c r="P132" s="438"/>
      <c r="Q132" s="438"/>
      <c r="R132" s="438"/>
      <c r="S132" s="439" t="s">
        <v>23</v>
      </c>
      <c r="T132" s="470"/>
      <c r="U132" s="471" t="s">
        <v>616</v>
      </c>
      <c r="V132" s="37"/>
      <c r="W132" s="243"/>
    </row>
    <row r="133" spans="1:23" ht="140">
      <c r="A133" s="357" t="s">
        <v>908</v>
      </c>
      <c r="B133" s="422"/>
      <c r="C133" s="37" t="s">
        <v>16</v>
      </c>
      <c r="D133" s="423" t="s">
        <v>909</v>
      </c>
      <c r="E133" s="472" t="s">
        <v>3222</v>
      </c>
      <c r="F133" s="437" t="s">
        <v>907</v>
      </c>
      <c r="G133" s="469"/>
      <c r="H133" s="174" t="s">
        <v>21</v>
      </c>
      <c r="I133" s="427" t="s">
        <v>531</v>
      </c>
      <c r="J133" s="111"/>
      <c r="K133" s="84"/>
      <c r="L133" s="84"/>
      <c r="M133" s="436"/>
      <c r="N133" s="76"/>
      <c r="O133" s="76"/>
      <c r="P133" s="76"/>
      <c r="Q133" s="76"/>
      <c r="R133" s="76"/>
      <c r="S133" s="397" t="s">
        <v>23</v>
      </c>
      <c r="T133" s="230"/>
      <c r="U133" s="174" t="s">
        <v>616</v>
      </c>
      <c r="V133" s="473"/>
      <c r="W133" s="243"/>
    </row>
    <row r="134" spans="1:23" ht="28">
      <c r="A134" s="455" t="s">
        <v>910</v>
      </c>
      <c r="B134" s="456"/>
      <c r="C134" s="37" t="s">
        <v>16</v>
      </c>
      <c r="D134" s="457" t="s">
        <v>911</v>
      </c>
      <c r="E134" s="474" t="s">
        <v>3222</v>
      </c>
      <c r="F134" s="475" t="s">
        <v>912</v>
      </c>
      <c r="G134" s="460"/>
      <c r="H134" s="217" t="s">
        <v>21</v>
      </c>
      <c r="I134" s="461" t="s">
        <v>531</v>
      </c>
      <c r="J134" s="189"/>
      <c r="K134" s="84"/>
      <c r="L134" s="84"/>
      <c r="M134" s="436"/>
      <c r="N134" s="76"/>
      <c r="O134" s="76"/>
      <c r="P134" s="76"/>
      <c r="Q134" s="76"/>
      <c r="R134" s="76"/>
      <c r="S134" s="397" t="s">
        <v>23</v>
      </c>
      <c r="T134" s="230"/>
      <c r="U134" s="174" t="s">
        <v>616</v>
      </c>
      <c r="V134" s="473"/>
      <c r="W134" s="476"/>
    </row>
    <row r="135" spans="1:23" ht="126">
      <c r="A135" s="411" t="s">
        <v>913</v>
      </c>
      <c r="B135" s="412"/>
      <c r="C135" s="238" t="s">
        <v>16</v>
      </c>
      <c r="D135" s="451" t="s">
        <v>914</v>
      </c>
      <c r="E135" s="477" t="s">
        <v>3223</v>
      </c>
      <c r="F135" s="415" t="s">
        <v>915</v>
      </c>
      <c r="G135" s="452"/>
      <c r="H135" s="282" t="s">
        <v>21</v>
      </c>
      <c r="I135" s="417" t="s">
        <v>531</v>
      </c>
      <c r="J135" s="316"/>
      <c r="K135" s="317"/>
      <c r="L135" s="317"/>
      <c r="M135" s="449"/>
      <c r="N135" s="158"/>
      <c r="O135" s="158"/>
      <c r="P135" s="158"/>
      <c r="Q135" s="158"/>
      <c r="R135" s="158"/>
      <c r="S135" s="478"/>
      <c r="T135" s="479" t="s">
        <v>916</v>
      </c>
      <c r="U135" s="282" t="s">
        <v>616</v>
      </c>
      <c r="V135" s="480"/>
      <c r="W135" s="421"/>
    </row>
    <row r="136" spans="1:23" ht="140">
      <c r="A136" s="455" t="s">
        <v>917</v>
      </c>
      <c r="B136" s="456"/>
      <c r="C136" s="37" t="s">
        <v>16</v>
      </c>
      <c r="D136" s="481" t="s">
        <v>918</v>
      </c>
      <c r="E136" s="474" t="s">
        <v>3222</v>
      </c>
      <c r="F136" s="459" t="s">
        <v>919</v>
      </c>
      <c r="G136" s="460"/>
      <c r="H136" s="217" t="s">
        <v>21</v>
      </c>
      <c r="I136" s="461" t="s">
        <v>531</v>
      </c>
      <c r="J136" s="189"/>
      <c r="K136" s="84"/>
      <c r="L136" s="84"/>
      <c r="M136" s="436"/>
      <c r="N136" s="76"/>
      <c r="O136" s="76"/>
      <c r="P136" s="76"/>
      <c r="Q136" s="76"/>
      <c r="R136" s="76"/>
      <c r="S136" s="397" t="s">
        <v>23</v>
      </c>
      <c r="T136" s="230"/>
      <c r="U136" s="174" t="s">
        <v>616</v>
      </c>
      <c r="V136" s="473"/>
      <c r="W136" s="243"/>
    </row>
    <row r="137" spans="1:23" ht="198">
      <c r="A137" s="455" t="s">
        <v>920</v>
      </c>
      <c r="B137" s="456"/>
      <c r="C137" s="37" t="s">
        <v>16</v>
      </c>
      <c r="D137" s="457" t="s">
        <v>921</v>
      </c>
      <c r="E137" s="474" t="s">
        <v>3222</v>
      </c>
      <c r="F137" s="459" t="s">
        <v>3224</v>
      </c>
      <c r="G137" s="460"/>
      <c r="H137" s="217" t="s">
        <v>21</v>
      </c>
      <c r="I137" s="461" t="s">
        <v>531</v>
      </c>
      <c r="J137" s="189"/>
      <c r="K137" s="84"/>
      <c r="L137" s="84"/>
      <c r="M137" s="436"/>
      <c r="N137" s="76"/>
      <c r="O137" s="76"/>
      <c r="P137" s="76"/>
      <c r="Q137" s="76"/>
      <c r="R137" s="76"/>
      <c r="S137" s="397" t="s">
        <v>23</v>
      </c>
      <c r="T137" s="230"/>
      <c r="U137" s="174" t="s">
        <v>616</v>
      </c>
      <c r="V137" s="473"/>
      <c r="W137" s="243"/>
    </row>
    <row r="138" spans="1:23" ht="154">
      <c r="A138" s="455" t="s">
        <v>922</v>
      </c>
      <c r="B138" s="456"/>
      <c r="C138" s="37" t="s">
        <v>16</v>
      </c>
      <c r="D138" s="481" t="s">
        <v>923</v>
      </c>
      <c r="E138" s="474" t="s">
        <v>3222</v>
      </c>
      <c r="F138" s="459" t="s">
        <v>924</v>
      </c>
      <c r="G138" s="460"/>
      <c r="H138" s="217" t="s">
        <v>21</v>
      </c>
      <c r="I138" s="461" t="s">
        <v>531</v>
      </c>
      <c r="J138" s="189"/>
      <c r="K138" s="84"/>
      <c r="L138" s="84"/>
      <c r="M138" s="436"/>
      <c r="N138" s="76"/>
      <c r="O138" s="76"/>
      <c r="P138" s="76"/>
      <c r="Q138" s="76"/>
      <c r="R138" s="76"/>
      <c r="S138" s="397" t="s">
        <v>23</v>
      </c>
      <c r="T138" s="230"/>
      <c r="U138" s="174" t="s">
        <v>616</v>
      </c>
      <c r="V138" s="473"/>
      <c r="W138" s="243"/>
    </row>
    <row r="139" spans="1:23" ht="140">
      <c r="A139" s="455" t="s">
        <v>925</v>
      </c>
      <c r="B139" s="456"/>
      <c r="C139" s="37" t="s">
        <v>16</v>
      </c>
      <c r="D139" s="481" t="s">
        <v>926</v>
      </c>
      <c r="E139" s="474" t="s">
        <v>3222</v>
      </c>
      <c r="F139" s="459" t="s">
        <v>927</v>
      </c>
      <c r="G139" s="460"/>
      <c r="H139" s="217" t="s">
        <v>21</v>
      </c>
      <c r="I139" s="461" t="s">
        <v>531</v>
      </c>
      <c r="J139" s="189"/>
      <c r="K139" s="84"/>
      <c r="L139" s="84"/>
      <c r="M139" s="436"/>
      <c r="N139" s="76"/>
      <c r="O139" s="76"/>
      <c r="P139" s="76"/>
      <c r="Q139" s="76"/>
      <c r="R139" s="76"/>
      <c r="S139" s="397" t="s">
        <v>23</v>
      </c>
      <c r="T139" s="230"/>
      <c r="U139" s="174" t="s">
        <v>616</v>
      </c>
      <c r="V139" s="473"/>
      <c r="W139" s="243"/>
    </row>
    <row r="140" spans="1:23" ht="140">
      <c r="A140" s="455" t="s">
        <v>928</v>
      </c>
      <c r="B140" s="422"/>
      <c r="C140" s="37" t="s">
        <v>16</v>
      </c>
      <c r="D140" s="482" t="s">
        <v>929</v>
      </c>
      <c r="E140" s="472"/>
      <c r="F140" s="437" t="s">
        <v>930</v>
      </c>
      <c r="G140" s="483" t="s">
        <v>931</v>
      </c>
      <c r="H140" s="174" t="s">
        <v>21</v>
      </c>
      <c r="I140" s="427" t="s">
        <v>531</v>
      </c>
      <c r="J140" s="104"/>
      <c r="K140" s="76"/>
      <c r="L140" s="84"/>
      <c r="M140" s="198"/>
      <c r="N140" s="76"/>
      <c r="O140" s="76"/>
      <c r="P140" s="76"/>
      <c r="Q140" s="76"/>
      <c r="R140" s="76"/>
      <c r="S140" s="397" t="s">
        <v>23</v>
      </c>
      <c r="T140" s="241"/>
      <c r="U140" s="484"/>
      <c r="V140" s="264"/>
      <c r="W140" s="243"/>
    </row>
    <row r="141" spans="1:23" ht="246" customHeight="1">
      <c r="A141" s="357" t="s">
        <v>932</v>
      </c>
      <c r="B141" s="422"/>
      <c r="C141" s="37" t="s">
        <v>16</v>
      </c>
      <c r="D141" s="290" t="s">
        <v>933</v>
      </c>
      <c r="E141" s="474" t="s">
        <v>3222</v>
      </c>
      <c r="F141" s="437" t="s">
        <v>934</v>
      </c>
      <c r="G141" s="483" t="s">
        <v>935</v>
      </c>
      <c r="H141" s="174" t="s">
        <v>21</v>
      </c>
      <c r="I141" s="427" t="s">
        <v>531</v>
      </c>
      <c r="J141" s="111"/>
      <c r="K141" s="84"/>
      <c r="L141" s="84"/>
      <c r="M141" s="436"/>
      <c r="N141" s="76"/>
      <c r="O141" s="76"/>
      <c r="P141" s="76"/>
      <c r="Q141" s="76"/>
      <c r="R141" s="76"/>
      <c r="S141" s="397" t="s">
        <v>23</v>
      </c>
      <c r="T141" s="230"/>
      <c r="U141" s="174" t="s">
        <v>616</v>
      </c>
      <c r="V141" s="473"/>
      <c r="W141" s="243"/>
    </row>
    <row r="142" spans="1:23" ht="140">
      <c r="A142" s="411" t="s">
        <v>936</v>
      </c>
      <c r="B142" s="119"/>
      <c r="C142" s="238" t="s">
        <v>16</v>
      </c>
      <c r="D142" s="451" t="s">
        <v>937</v>
      </c>
      <c r="E142" s="477" t="s">
        <v>3223</v>
      </c>
      <c r="F142" s="415" t="s">
        <v>938</v>
      </c>
      <c r="G142" s="416" t="s">
        <v>939</v>
      </c>
      <c r="H142" s="282" t="s">
        <v>21</v>
      </c>
      <c r="I142" s="417" t="s">
        <v>531</v>
      </c>
      <c r="J142" s="316"/>
      <c r="K142" s="317"/>
      <c r="L142" s="317"/>
      <c r="M142" s="449"/>
      <c r="N142" s="158"/>
      <c r="O142" s="158"/>
      <c r="P142" s="158"/>
      <c r="Q142" s="158"/>
      <c r="R142" s="158"/>
      <c r="S142" s="478"/>
      <c r="T142" s="479" t="s">
        <v>940</v>
      </c>
      <c r="U142" s="282" t="s">
        <v>616</v>
      </c>
      <c r="V142" s="480"/>
      <c r="W142" s="285"/>
    </row>
    <row r="143" spans="1:23" ht="140">
      <c r="A143" s="118" t="s">
        <v>941</v>
      </c>
      <c r="B143" s="75"/>
      <c r="C143" s="37" t="s">
        <v>16</v>
      </c>
      <c r="D143" s="481" t="s">
        <v>942</v>
      </c>
      <c r="E143" s="434" t="s">
        <v>3222</v>
      </c>
      <c r="F143" s="266" t="s">
        <v>943</v>
      </c>
      <c r="G143" s="435" t="s">
        <v>939</v>
      </c>
      <c r="H143" s="174" t="s">
        <v>21</v>
      </c>
      <c r="I143" s="267" t="s">
        <v>531</v>
      </c>
      <c r="J143" s="76"/>
      <c r="K143" s="76"/>
      <c r="L143" s="84"/>
      <c r="M143" s="436"/>
      <c r="N143" s="76"/>
      <c r="O143" s="76"/>
      <c r="P143" s="76"/>
      <c r="Q143" s="76"/>
      <c r="R143" s="76"/>
      <c r="S143" s="397" t="s">
        <v>23</v>
      </c>
      <c r="T143" s="230"/>
      <c r="U143" s="174" t="s">
        <v>616</v>
      </c>
      <c r="V143" s="473"/>
      <c r="W143" s="243"/>
    </row>
    <row r="144" spans="1:23" ht="140">
      <c r="A144" s="357" t="s">
        <v>944</v>
      </c>
      <c r="B144" s="422"/>
      <c r="C144" s="37" t="s">
        <v>16</v>
      </c>
      <c r="D144" s="423" t="s">
        <v>945</v>
      </c>
      <c r="E144" s="472" t="s">
        <v>3222</v>
      </c>
      <c r="F144" s="437" t="s">
        <v>943</v>
      </c>
      <c r="G144" s="483" t="s">
        <v>939</v>
      </c>
      <c r="H144" s="174" t="s">
        <v>21</v>
      </c>
      <c r="I144" s="427" t="s">
        <v>531</v>
      </c>
      <c r="J144" s="104"/>
      <c r="K144" s="76"/>
      <c r="L144" s="84"/>
      <c r="M144" s="436"/>
      <c r="N144" s="76"/>
      <c r="O144" s="76"/>
      <c r="P144" s="76"/>
      <c r="Q144" s="76"/>
      <c r="R144" s="76"/>
      <c r="S144" s="397" t="s">
        <v>23</v>
      </c>
      <c r="T144" s="230"/>
      <c r="U144" s="174" t="s">
        <v>616</v>
      </c>
      <c r="V144" s="473"/>
      <c r="W144" s="243"/>
    </row>
    <row r="145" spans="1:23" ht="56">
      <c r="A145" s="118" t="s">
        <v>946</v>
      </c>
      <c r="B145" s="75"/>
      <c r="C145" s="37" t="s">
        <v>16</v>
      </c>
      <c r="D145" s="481" t="s">
        <v>947</v>
      </c>
      <c r="E145" s="434" t="s">
        <v>3222</v>
      </c>
      <c r="F145" s="468" t="s">
        <v>948</v>
      </c>
      <c r="G145" s="435" t="s">
        <v>939</v>
      </c>
      <c r="H145" s="174" t="s">
        <v>21</v>
      </c>
      <c r="I145" s="267" t="s">
        <v>531</v>
      </c>
      <c r="J145" s="84"/>
      <c r="K145" s="84"/>
      <c r="L145" s="84"/>
      <c r="M145" s="436"/>
      <c r="N145" s="76"/>
      <c r="O145" s="76"/>
      <c r="P145" s="76"/>
      <c r="Q145" s="76"/>
      <c r="R145" s="76"/>
      <c r="S145" s="397" t="s">
        <v>23</v>
      </c>
      <c r="T145" s="230"/>
      <c r="U145" s="174" t="s">
        <v>616</v>
      </c>
      <c r="V145" s="473"/>
      <c r="W145" s="243"/>
    </row>
    <row r="146" spans="1:23" ht="140">
      <c r="A146" s="455" t="s">
        <v>949</v>
      </c>
      <c r="B146" s="456"/>
      <c r="C146" s="37" t="s">
        <v>16</v>
      </c>
      <c r="D146" s="457" t="s">
        <v>950</v>
      </c>
      <c r="E146" s="474" t="s">
        <v>3222</v>
      </c>
      <c r="F146" s="459" t="s">
        <v>951</v>
      </c>
      <c r="G146" s="485" t="s">
        <v>939</v>
      </c>
      <c r="H146" s="217" t="s">
        <v>21</v>
      </c>
      <c r="I146" s="461" t="s">
        <v>531</v>
      </c>
      <c r="J146" s="189"/>
      <c r="K146" s="84"/>
      <c r="L146" s="84"/>
      <c r="M146" s="436"/>
      <c r="N146" s="76"/>
      <c r="O146" s="76"/>
      <c r="P146" s="76"/>
      <c r="Q146" s="76"/>
      <c r="R146" s="76"/>
      <c r="S146" s="397" t="s">
        <v>23</v>
      </c>
      <c r="T146" s="230"/>
      <c r="U146" s="174" t="s">
        <v>616</v>
      </c>
      <c r="V146" s="473"/>
      <c r="W146" s="243"/>
    </row>
    <row r="147" spans="1:23" ht="56">
      <c r="A147" s="118" t="s">
        <v>952</v>
      </c>
      <c r="B147" s="75"/>
      <c r="C147" s="37" t="s">
        <v>16</v>
      </c>
      <c r="D147" s="481" t="s">
        <v>953</v>
      </c>
      <c r="E147" s="434" t="s">
        <v>3222</v>
      </c>
      <c r="F147" s="468" t="s">
        <v>954</v>
      </c>
      <c r="G147" s="435" t="s">
        <v>939</v>
      </c>
      <c r="H147" s="267" t="s">
        <v>21</v>
      </c>
      <c r="I147" s="267" t="s">
        <v>531</v>
      </c>
      <c r="J147" s="76"/>
      <c r="K147" s="76"/>
      <c r="L147" s="84"/>
      <c r="M147" s="436"/>
      <c r="N147" s="76"/>
      <c r="O147" s="76"/>
      <c r="P147" s="76"/>
      <c r="Q147" s="76"/>
      <c r="R147" s="76"/>
      <c r="S147" s="397" t="s">
        <v>23</v>
      </c>
      <c r="T147" s="230"/>
      <c r="U147" s="174" t="s">
        <v>616</v>
      </c>
      <c r="V147" s="473"/>
      <c r="W147" s="243"/>
    </row>
    <row r="148" spans="1:23" ht="168">
      <c r="A148" s="455" t="s">
        <v>955</v>
      </c>
      <c r="B148" s="456"/>
      <c r="C148" s="37" t="s">
        <v>16</v>
      </c>
      <c r="D148" s="457" t="s">
        <v>956</v>
      </c>
      <c r="E148" s="474" t="s">
        <v>3222</v>
      </c>
      <c r="F148" s="459" t="s">
        <v>957</v>
      </c>
      <c r="G148" s="485" t="s">
        <v>939</v>
      </c>
      <c r="H148" s="217" t="s">
        <v>21</v>
      </c>
      <c r="I148" s="461" t="s">
        <v>531</v>
      </c>
      <c r="J148" s="189"/>
      <c r="K148" s="84"/>
      <c r="L148" s="84"/>
      <c r="M148" s="436"/>
      <c r="N148" s="76"/>
      <c r="O148" s="76"/>
      <c r="P148" s="76"/>
      <c r="Q148" s="76"/>
      <c r="R148" s="76"/>
      <c r="S148" s="397" t="s">
        <v>23</v>
      </c>
      <c r="T148" s="230"/>
      <c r="U148" s="174" t="s">
        <v>616</v>
      </c>
      <c r="V148" s="473"/>
      <c r="W148" s="243"/>
    </row>
    <row r="149" spans="1:23" ht="56">
      <c r="A149" s="118" t="s">
        <v>958</v>
      </c>
      <c r="B149" s="75"/>
      <c r="C149" s="37" t="s">
        <v>16</v>
      </c>
      <c r="D149" s="481" t="s">
        <v>959</v>
      </c>
      <c r="E149" s="434" t="s">
        <v>3222</v>
      </c>
      <c r="F149" s="468" t="s">
        <v>960</v>
      </c>
      <c r="G149" s="435" t="s">
        <v>939</v>
      </c>
      <c r="H149" s="174" t="s">
        <v>21</v>
      </c>
      <c r="I149" s="267" t="s">
        <v>531</v>
      </c>
      <c r="J149" s="84"/>
      <c r="K149" s="84"/>
      <c r="L149" s="84"/>
      <c r="M149" s="436"/>
      <c r="N149" s="76"/>
      <c r="O149" s="76"/>
      <c r="P149" s="76"/>
      <c r="Q149" s="76"/>
      <c r="R149" s="76"/>
      <c r="S149" s="397" t="s">
        <v>23</v>
      </c>
      <c r="T149" s="230"/>
      <c r="U149" s="174" t="s">
        <v>616</v>
      </c>
      <c r="V149" s="473"/>
      <c r="W149" s="243"/>
    </row>
    <row r="150" spans="1:23" ht="154">
      <c r="A150" s="455" t="s">
        <v>961</v>
      </c>
      <c r="B150" s="456"/>
      <c r="C150" s="37" t="s">
        <v>16</v>
      </c>
      <c r="D150" s="457" t="s">
        <v>962</v>
      </c>
      <c r="E150" s="474" t="s">
        <v>3222</v>
      </c>
      <c r="F150" s="459" t="s">
        <v>963</v>
      </c>
      <c r="G150" s="485" t="s">
        <v>939</v>
      </c>
      <c r="H150" s="217" t="s">
        <v>21</v>
      </c>
      <c r="I150" s="461" t="s">
        <v>531</v>
      </c>
      <c r="J150" s="189"/>
      <c r="K150" s="84"/>
      <c r="L150" s="84"/>
      <c r="M150" s="436"/>
      <c r="N150" s="76"/>
      <c r="O150" s="76"/>
      <c r="P150" s="76"/>
      <c r="Q150" s="76"/>
      <c r="R150" s="76"/>
      <c r="S150" s="397" t="s">
        <v>23</v>
      </c>
      <c r="T150" s="230"/>
      <c r="U150" s="174" t="s">
        <v>616</v>
      </c>
      <c r="V150" s="473"/>
      <c r="W150" s="243"/>
    </row>
    <row r="151" spans="1:23" ht="112">
      <c r="A151" s="118" t="s">
        <v>964</v>
      </c>
      <c r="B151" s="75"/>
      <c r="C151" s="37" t="s">
        <v>16</v>
      </c>
      <c r="D151" s="481" t="s">
        <v>965</v>
      </c>
      <c r="E151" s="434"/>
      <c r="F151" s="266" t="s">
        <v>966</v>
      </c>
      <c r="G151" s="435" t="s">
        <v>939</v>
      </c>
      <c r="H151" s="174" t="s">
        <v>21</v>
      </c>
      <c r="I151" s="267" t="s">
        <v>531</v>
      </c>
      <c r="J151" s="76"/>
      <c r="K151" s="76"/>
      <c r="L151" s="84"/>
      <c r="M151" s="198"/>
      <c r="N151" s="76"/>
      <c r="O151" s="76"/>
      <c r="P151" s="76"/>
      <c r="Q151" s="76"/>
      <c r="R151" s="76"/>
      <c r="S151" s="397" t="s">
        <v>23</v>
      </c>
      <c r="T151" s="241"/>
      <c r="U151" s="263"/>
      <c r="V151" s="264"/>
      <c r="W151" s="243"/>
    </row>
    <row r="152" spans="1:23" ht="112">
      <c r="A152" s="357" t="s">
        <v>967</v>
      </c>
      <c r="B152" s="422"/>
      <c r="C152" s="37" t="s">
        <v>16</v>
      </c>
      <c r="D152" s="423" t="s">
        <v>968</v>
      </c>
      <c r="E152" s="472"/>
      <c r="F152" s="437" t="s">
        <v>966</v>
      </c>
      <c r="G152" s="483" t="s">
        <v>939</v>
      </c>
      <c r="H152" s="174" t="s">
        <v>21</v>
      </c>
      <c r="I152" s="427" t="s">
        <v>531</v>
      </c>
      <c r="J152" s="104"/>
      <c r="K152" s="76"/>
      <c r="L152" s="84"/>
      <c r="M152" s="198"/>
      <c r="N152" s="76"/>
      <c r="O152" s="76"/>
      <c r="P152" s="76"/>
      <c r="Q152" s="76"/>
      <c r="R152" s="76"/>
      <c r="S152" s="397" t="s">
        <v>23</v>
      </c>
      <c r="T152" s="241"/>
      <c r="U152" s="484"/>
      <c r="V152" s="264"/>
      <c r="W152" s="243"/>
    </row>
    <row r="153" spans="1:23" ht="126">
      <c r="A153" s="411" t="s">
        <v>969</v>
      </c>
      <c r="B153" s="412"/>
      <c r="C153" s="238" t="s">
        <v>16</v>
      </c>
      <c r="D153" s="451" t="s">
        <v>970</v>
      </c>
      <c r="E153" s="477" t="s">
        <v>3223</v>
      </c>
      <c r="F153" s="415" t="s">
        <v>971</v>
      </c>
      <c r="G153" s="416" t="s">
        <v>939</v>
      </c>
      <c r="H153" s="282" t="s">
        <v>21</v>
      </c>
      <c r="I153" s="417" t="s">
        <v>531</v>
      </c>
      <c r="J153" s="316"/>
      <c r="K153" s="317"/>
      <c r="L153" s="317"/>
      <c r="M153" s="449"/>
      <c r="N153" s="158"/>
      <c r="O153" s="158"/>
      <c r="P153" s="158"/>
      <c r="Q153" s="158"/>
      <c r="R153" s="158"/>
      <c r="S153" s="478"/>
      <c r="T153" s="479" t="s">
        <v>916</v>
      </c>
      <c r="U153" s="282" t="s">
        <v>616</v>
      </c>
      <c r="V153" s="480"/>
      <c r="W153" s="421"/>
    </row>
    <row r="154" spans="1:23" ht="140">
      <c r="A154" s="118" t="s">
        <v>972</v>
      </c>
      <c r="B154" s="75"/>
      <c r="C154" s="37" t="s">
        <v>16</v>
      </c>
      <c r="D154" s="481" t="s">
        <v>973</v>
      </c>
      <c r="E154" s="434" t="s">
        <v>3222</v>
      </c>
      <c r="F154" s="266" t="s">
        <v>974</v>
      </c>
      <c r="G154" s="435" t="s">
        <v>939</v>
      </c>
      <c r="H154" s="174" t="s">
        <v>21</v>
      </c>
      <c r="I154" s="267" t="s">
        <v>531</v>
      </c>
      <c r="J154" s="76"/>
      <c r="K154" s="76"/>
      <c r="L154" s="84"/>
      <c r="M154" s="436"/>
      <c r="N154" s="76"/>
      <c r="O154" s="76"/>
      <c r="P154" s="76"/>
      <c r="Q154" s="76"/>
      <c r="R154" s="76"/>
      <c r="S154" s="397" t="s">
        <v>23</v>
      </c>
      <c r="T154" s="230"/>
      <c r="U154" s="174" t="s">
        <v>616</v>
      </c>
      <c r="V154" s="473"/>
      <c r="W154" s="243"/>
    </row>
    <row r="155" spans="1:23" ht="140">
      <c r="A155" s="357" t="s">
        <v>975</v>
      </c>
      <c r="B155" s="422"/>
      <c r="C155" s="37" t="s">
        <v>16</v>
      </c>
      <c r="D155" s="423" t="s">
        <v>976</v>
      </c>
      <c r="E155" s="472" t="s">
        <v>3222</v>
      </c>
      <c r="F155" s="437" t="s">
        <v>974</v>
      </c>
      <c r="G155" s="483" t="s">
        <v>939</v>
      </c>
      <c r="H155" s="174" t="s">
        <v>21</v>
      </c>
      <c r="I155" s="427" t="s">
        <v>531</v>
      </c>
      <c r="J155" s="104"/>
      <c r="K155" s="76"/>
      <c r="L155" s="84"/>
      <c r="M155" s="436"/>
      <c r="N155" s="76"/>
      <c r="O155" s="76"/>
      <c r="P155" s="76"/>
      <c r="Q155" s="76"/>
      <c r="R155" s="76"/>
      <c r="S155" s="397" t="s">
        <v>23</v>
      </c>
      <c r="T155" s="230"/>
      <c r="U155" s="174" t="s">
        <v>616</v>
      </c>
      <c r="V155" s="473"/>
      <c r="W155" s="243"/>
    </row>
    <row r="156" spans="1:23" ht="140">
      <c r="A156" s="357" t="s">
        <v>977</v>
      </c>
      <c r="B156" s="422"/>
      <c r="C156" s="37" t="s">
        <v>16</v>
      </c>
      <c r="D156" s="482" t="s">
        <v>978</v>
      </c>
      <c r="E156" s="472"/>
      <c r="F156" s="437" t="s">
        <v>979</v>
      </c>
      <c r="G156" s="483" t="s">
        <v>980</v>
      </c>
      <c r="H156" s="174" t="s">
        <v>21</v>
      </c>
      <c r="I156" s="427" t="s">
        <v>531</v>
      </c>
      <c r="J156" s="111"/>
      <c r="K156" s="84"/>
      <c r="L156" s="84"/>
      <c r="M156" s="198"/>
      <c r="N156" s="76"/>
      <c r="O156" s="76"/>
      <c r="P156" s="76"/>
      <c r="Q156" s="76"/>
      <c r="R156" s="76"/>
      <c r="S156" s="397" t="s">
        <v>23</v>
      </c>
      <c r="T156" s="230"/>
      <c r="U156" s="422"/>
      <c r="V156" s="486"/>
      <c r="W156" s="243"/>
    </row>
    <row r="157" spans="1:23" ht="56">
      <c r="A157" s="357" t="s">
        <v>981</v>
      </c>
      <c r="B157" s="422"/>
      <c r="C157" s="37" t="s">
        <v>16</v>
      </c>
      <c r="D157" s="482" t="s">
        <v>982</v>
      </c>
      <c r="E157" s="472"/>
      <c r="F157" s="487" t="s">
        <v>983</v>
      </c>
      <c r="G157" s="483" t="s">
        <v>984</v>
      </c>
      <c r="H157" s="427" t="s">
        <v>21</v>
      </c>
      <c r="I157" s="427" t="s">
        <v>531</v>
      </c>
      <c r="J157" s="111"/>
      <c r="K157" s="84"/>
      <c r="L157" s="84"/>
      <c r="M157" s="198"/>
      <c r="N157" s="76"/>
      <c r="O157" s="76"/>
      <c r="P157" s="76"/>
      <c r="Q157" s="76"/>
      <c r="R157" s="76"/>
      <c r="S157" s="397" t="s">
        <v>23</v>
      </c>
      <c r="T157" s="230"/>
      <c r="U157" s="422"/>
      <c r="V157" s="486"/>
      <c r="W157" s="243"/>
    </row>
    <row r="158" spans="1:23" ht="154.5" customHeight="1">
      <c r="A158" s="357" t="s">
        <v>985</v>
      </c>
      <c r="B158" s="422"/>
      <c r="C158" s="37" t="s">
        <v>16</v>
      </c>
      <c r="D158" s="482" t="s">
        <v>986</v>
      </c>
      <c r="E158" s="472" t="s">
        <v>3222</v>
      </c>
      <c r="F158" s="437" t="s">
        <v>987</v>
      </c>
      <c r="G158" s="483" t="s">
        <v>988</v>
      </c>
      <c r="H158" s="174" t="s">
        <v>21</v>
      </c>
      <c r="I158" s="427" t="s">
        <v>531</v>
      </c>
      <c r="J158" s="189"/>
      <c r="K158" s="84"/>
      <c r="L158" s="84"/>
      <c r="M158" s="198"/>
      <c r="N158" s="76"/>
      <c r="O158" s="76"/>
      <c r="P158" s="76"/>
      <c r="Q158" s="76"/>
      <c r="R158" s="76"/>
      <c r="S158" s="397" t="s">
        <v>23</v>
      </c>
      <c r="T158" s="241"/>
      <c r="U158" s="484"/>
      <c r="V158" s="264"/>
      <c r="W158" s="243"/>
    </row>
    <row r="159" spans="1:23" ht="112">
      <c r="A159" s="455" t="s">
        <v>989</v>
      </c>
      <c r="B159" s="456"/>
      <c r="C159" s="37" t="s">
        <v>16</v>
      </c>
      <c r="D159" s="221" t="s">
        <v>990</v>
      </c>
      <c r="E159" s="474" t="s">
        <v>3222</v>
      </c>
      <c r="F159" s="459" t="s">
        <v>991</v>
      </c>
      <c r="G159" s="485" t="s">
        <v>992</v>
      </c>
      <c r="H159" s="217" t="s">
        <v>21</v>
      </c>
      <c r="I159" s="461" t="s">
        <v>531</v>
      </c>
      <c r="J159" s="189"/>
      <c r="K159" s="84"/>
      <c r="L159" s="84"/>
      <c r="M159" s="436"/>
      <c r="N159" s="76"/>
      <c r="O159" s="76"/>
      <c r="P159" s="76"/>
      <c r="Q159" s="76"/>
      <c r="R159" s="76"/>
      <c r="S159" s="397" t="s">
        <v>23</v>
      </c>
      <c r="T159" s="230"/>
      <c r="U159" s="174" t="s">
        <v>616</v>
      </c>
      <c r="V159" s="473"/>
      <c r="W159" s="243"/>
    </row>
    <row r="160" spans="1:23" ht="99">
      <c r="A160" s="455" t="s">
        <v>993</v>
      </c>
      <c r="B160" s="390"/>
      <c r="C160" s="37" t="s">
        <v>16</v>
      </c>
      <c r="D160" s="188" t="s">
        <v>994</v>
      </c>
      <c r="E160" s="488"/>
      <c r="F160" s="281" t="s">
        <v>3225</v>
      </c>
      <c r="G160" s="489" t="s">
        <v>995</v>
      </c>
      <c r="H160" s="217" t="s">
        <v>21</v>
      </c>
      <c r="I160" s="169" t="s">
        <v>531</v>
      </c>
      <c r="J160" s="189"/>
      <c r="K160" s="84"/>
      <c r="L160" s="76"/>
      <c r="M160" s="436"/>
      <c r="N160" s="76"/>
      <c r="O160" s="76"/>
      <c r="P160" s="76"/>
      <c r="Q160" s="76"/>
      <c r="R160" s="76"/>
      <c r="S160" s="397" t="s">
        <v>23</v>
      </c>
      <c r="T160" s="241"/>
      <c r="U160" s="221"/>
      <c r="V160" s="254"/>
      <c r="W160" s="243"/>
    </row>
    <row r="161" spans="1:23" ht="84">
      <c r="A161" s="455" t="s">
        <v>996</v>
      </c>
      <c r="B161" s="390"/>
      <c r="C161" s="37" t="s">
        <v>16</v>
      </c>
      <c r="D161" s="344" t="s">
        <v>997</v>
      </c>
      <c r="E161" s="488"/>
      <c r="F161" s="489" t="s">
        <v>998</v>
      </c>
      <c r="G161" s="489" t="s">
        <v>999</v>
      </c>
      <c r="H161" s="217" t="s">
        <v>21</v>
      </c>
      <c r="I161" s="169" t="s">
        <v>531</v>
      </c>
      <c r="J161" s="189"/>
      <c r="K161" s="84"/>
      <c r="L161" s="76"/>
      <c r="M161" s="436"/>
      <c r="N161" s="76"/>
      <c r="O161" s="76"/>
      <c r="P161" s="76"/>
      <c r="Q161" s="76"/>
      <c r="R161" s="76"/>
      <c r="S161" s="397" t="s">
        <v>23</v>
      </c>
      <c r="T161" s="241"/>
      <c r="U161" s="221"/>
      <c r="V161" s="254"/>
      <c r="W161" s="243"/>
    </row>
    <row r="162" spans="1:23" ht="112">
      <c r="A162" s="455" t="s">
        <v>1000</v>
      </c>
      <c r="B162" s="390"/>
      <c r="C162" s="37" t="s">
        <v>16</v>
      </c>
      <c r="D162" s="188" t="s">
        <v>1001</v>
      </c>
      <c r="E162" s="488"/>
      <c r="F162" s="459" t="s">
        <v>1002</v>
      </c>
      <c r="G162" s="489" t="s">
        <v>1003</v>
      </c>
      <c r="H162" s="217" t="s">
        <v>21</v>
      </c>
      <c r="I162" s="169" t="s">
        <v>531</v>
      </c>
      <c r="J162" s="189"/>
      <c r="K162" s="84"/>
      <c r="L162" s="76"/>
      <c r="M162" s="436"/>
      <c r="N162" s="76"/>
      <c r="O162" s="76"/>
      <c r="P162" s="76"/>
      <c r="Q162" s="76"/>
      <c r="R162" s="76"/>
      <c r="S162" s="397" t="s">
        <v>23</v>
      </c>
      <c r="T162" s="241"/>
      <c r="U162" s="188"/>
      <c r="V162" s="383"/>
      <c r="W162" s="243"/>
    </row>
    <row r="163" spans="1:23" ht="112">
      <c r="A163" s="455" t="s">
        <v>1004</v>
      </c>
      <c r="B163" s="390"/>
      <c r="C163" s="37" t="s">
        <v>16</v>
      </c>
      <c r="D163" s="188" t="s">
        <v>1005</v>
      </c>
      <c r="E163" s="488"/>
      <c r="F163" s="459" t="s">
        <v>1006</v>
      </c>
      <c r="G163" s="489" t="s">
        <v>1003</v>
      </c>
      <c r="H163" s="217" t="s">
        <v>21</v>
      </c>
      <c r="I163" s="169" t="s">
        <v>531</v>
      </c>
      <c r="J163" s="189"/>
      <c r="K163" s="84"/>
      <c r="L163" s="76"/>
      <c r="M163" s="436"/>
      <c r="N163" s="76"/>
      <c r="O163" s="76"/>
      <c r="P163" s="76"/>
      <c r="Q163" s="76"/>
      <c r="R163" s="76"/>
      <c r="S163" s="397" t="s">
        <v>23</v>
      </c>
      <c r="T163" s="241"/>
      <c r="U163" s="188"/>
      <c r="V163" s="383"/>
      <c r="W163" s="243"/>
    </row>
    <row r="164" spans="1:23" ht="112">
      <c r="A164" s="455" t="s">
        <v>1007</v>
      </c>
      <c r="B164" s="390"/>
      <c r="C164" s="37" t="s">
        <v>16</v>
      </c>
      <c r="D164" s="188" t="s">
        <v>1008</v>
      </c>
      <c r="E164" s="488"/>
      <c r="F164" s="489" t="s">
        <v>1009</v>
      </c>
      <c r="G164" s="489" t="s">
        <v>1003</v>
      </c>
      <c r="H164" s="174" t="s">
        <v>21</v>
      </c>
      <c r="I164" s="169" t="s">
        <v>531</v>
      </c>
      <c r="J164" s="189"/>
      <c r="K164" s="84"/>
      <c r="L164" s="76"/>
      <c r="M164" s="436"/>
      <c r="N164" s="76"/>
      <c r="O164" s="76"/>
      <c r="P164" s="76"/>
      <c r="Q164" s="76"/>
      <c r="R164" s="76"/>
      <c r="S164" s="397" t="s">
        <v>23</v>
      </c>
      <c r="T164" s="241"/>
      <c r="U164" s="188"/>
      <c r="V164" s="383"/>
      <c r="W164" s="243"/>
    </row>
    <row r="165" spans="1:23" ht="112">
      <c r="A165" s="118" t="s">
        <v>1010</v>
      </c>
      <c r="B165" s="490"/>
      <c r="C165" s="37" t="s">
        <v>16</v>
      </c>
      <c r="D165" s="100" t="s">
        <v>1008</v>
      </c>
      <c r="E165" s="491"/>
      <c r="F165" s="492" t="s">
        <v>1009</v>
      </c>
      <c r="G165" s="492" t="s">
        <v>1003</v>
      </c>
      <c r="H165" s="37" t="s">
        <v>21</v>
      </c>
      <c r="I165" s="493" t="s">
        <v>531</v>
      </c>
      <c r="J165" s="84"/>
      <c r="K165" s="84"/>
      <c r="L165" s="76"/>
      <c r="M165" s="436"/>
      <c r="N165" s="76"/>
      <c r="O165" s="76"/>
      <c r="P165" s="76"/>
      <c r="Q165" s="76"/>
      <c r="R165" s="76"/>
      <c r="S165" s="397" t="s">
        <v>23</v>
      </c>
      <c r="T165" s="241"/>
      <c r="U165" s="100"/>
      <c r="V165" s="383"/>
      <c r="W165" s="243"/>
    </row>
    <row r="166" spans="1:23" ht="56">
      <c r="A166" s="172" t="s">
        <v>1011</v>
      </c>
      <c r="B166" s="255"/>
      <c r="C166" s="37" t="s">
        <v>16</v>
      </c>
      <c r="D166" s="494" t="s">
        <v>1012</v>
      </c>
      <c r="E166" s="109"/>
      <c r="F166" s="292" t="s">
        <v>1013</v>
      </c>
      <c r="G166" s="277"/>
      <c r="H166" s="174" t="s">
        <v>21</v>
      </c>
      <c r="I166" s="288" t="s">
        <v>22</v>
      </c>
      <c r="J166" s="111"/>
      <c r="K166" s="84"/>
      <c r="L166" s="76" t="s">
        <v>64</v>
      </c>
      <c r="M166" s="436"/>
      <c r="N166" s="76" t="s">
        <v>23</v>
      </c>
      <c r="O166" s="76"/>
      <c r="P166" s="76"/>
      <c r="Q166" s="76"/>
      <c r="R166" s="76"/>
      <c r="S166" s="397"/>
      <c r="T166" s="241"/>
      <c r="U166" s="172"/>
      <c r="V166" s="227" t="s">
        <v>3226</v>
      </c>
      <c r="W166" s="243"/>
    </row>
    <row r="167" spans="1:23" ht="42">
      <c r="A167" s="292" t="s">
        <v>1014</v>
      </c>
      <c r="B167" s="277"/>
      <c r="C167" s="37" t="s">
        <v>16</v>
      </c>
      <c r="D167" s="495" t="s">
        <v>1015</v>
      </c>
      <c r="E167" s="109"/>
      <c r="F167" s="277" t="s">
        <v>1016</v>
      </c>
      <c r="G167" s="277"/>
      <c r="H167" s="174" t="s">
        <v>21</v>
      </c>
      <c r="I167" s="288" t="s">
        <v>22</v>
      </c>
      <c r="J167" s="111" t="s">
        <v>23</v>
      </c>
      <c r="K167" s="84"/>
      <c r="L167" s="76"/>
      <c r="M167" s="436"/>
      <c r="N167" s="76"/>
      <c r="O167" s="76"/>
      <c r="P167" s="76"/>
      <c r="Q167" s="76"/>
      <c r="R167" s="76"/>
      <c r="S167" s="397"/>
      <c r="T167" s="241"/>
      <c r="U167" s="172"/>
      <c r="V167" s="383"/>
      <c r="W167" s="243"/>
    </row>
    <row r="168" spans="1:23" ht="42">
      <c r="A168" s="292" t="s">
        <v>1017</v>
      </c>
      <c r="B168" s="277"/>
      <c r="C168" s="37" t="s">
        <v>16</v>
      </c>
      <c r="D168" s="487" t="s">
        <v>1018</v>
      </c>
      <c r="E168" s="98" t="s">
        <v>621</v>
      </c>
      <c r="F168" s="277" t="s">
        <v>1019</v>
      </c>
      <c r="G168" s="277"/>
      <c r="H168" s="174" t="s">
        <v>21</v>
      </c>
      <c r="I168" s="288" t="s">
        <v>531</v>
      </c>
      <c r="J168" s="111"/>
      <c r="K168" s="84"/>
      <c r="L168" s="76"/>
      <c r="M168" s="436"/>
      <c r="N168" s="76"/>
      <c r="O168" s="76"/>
      <c r="P168" s="76"/>
      <c r="Q168" s="76"/>
      <c r="R168" s="76" t="s">
        <v>23</v>
      </c>
      <c r="S168" s="397"/>
      <c r="T168" s="241"/>
      <c r="U168" s="172"/>
      <c r="V168" s="383"/>
      <c r="W168" s="243"/>
    </row>
    <row r="169" spans="1:23" ht="28">
      <c r="A169" s="292" t="s">
        <v>1020</v>
      </c>
      <c r="B169" s="277"/>
      <c r="C169" s="37" t="s">
        <v>16</v>
      </c>
      <c r="D169" s="277" t="s">
        <v>1021</v>
      </c>
      <c r="E169" s="109"/>
      <c r="F169" s="277" t="s">
        <v>1022</v>
      </c>
      <c r="G169" s="277"/>
      <c r="H169" s="174" t="s">
        <v>21</v>
      </c>
      <c r="I169" s="288" t="s">
        <v>22</v>
      </c>
      <c r="J169" s="111"/>
      <c r="K169" s="84"/>
      <c r="L169" s="76"/>
      <c r="M169" s="436"/>
      <c r="N169" s="76"/>
      <c r="O169" s="76"/>
      <c r="P169" s="76"/>
      <c r="Q169" s="76"/>
      <c r="R169" s="76"/>
      <c r="S169" s="397" t="s">
        <v>64</v>
      </c>
      <c r="T169" s="241" t="s">
        <v>1023</v>
      </c>
      <c r="U169" s="173" t="s">
        <v>1024</v>
      </c>
      <c r="V169" s="254"/>
      <c r="W169" s="243"/>
    </row>
    <row r="170" spans="1:23" ht="126">
      <c r="A170" s="292" t="s">
        <v>1025</v>
      </c>
      <c r="B170" s="277"/>
      <c r="C170" s="37" t="s">
        <v>16</v>
      </c>
      <c r="D170" s="277" t="s">
        <v>1026</v>
      </c>
      <c r="E170" s="98" t="s">
        <v>857</v>
      </c>
      <c r="F170" s="277" t="s">
        <v>1027</v>
      </c>
      <c r="G170" s="277"/>
      <c r="H170" s="174" t="s">
        <v>21</v>
      </c>
      <c r="I170" s="288" t="s">
        <v>531</v>
      </c>
      <c r="J170" s="111"/>
      <c r="K170" s="84"/>
      <c r="L170" s="76"/>
      <c r="M170" s="436"/>
      <c r="N170" s="76"/>
      <c r="O170" s="76"/>
      <c r="P170" s="76"/>
      <c r="Q170" s="76"/>
      <c r="R170" s="76" t="s">
        <v>23</v>
      </c>
      <c r="S170" s="397"/>
      <c r="T170" s="230"/>
      <c r="U170" s="174" t="s">
        <v>616</v>
      </c>
      <c r="V170" s="473"/>
      <c r="W170" s="243"/>
    </row>
    <row r="171" spans="1:23" ht="98">
      <c r="A171" s="292" t="s">
        <v>1028</v>
      </c>
      <c r="B171" s="277"/>
      <c r="C171" s="37" t="s">
        <v>16</v>
      </c>
      <c r="D171" s="277" t="s">
        <v>1029</v>
      </c>
      <c r="E171" s="103" t="s">
        <v>1030</v>
      </c>
      <c r="F171" s="277" t="s">
        <v>1031</v>
      </c>
      <c r="G171" s="277"/>
      <c r="H171" s="174" t="s">
        <v>21</v>
      </c>
      <c r="I171" s="288" t="s">
        <v>531</v>
      </c>
      <c r="J171" s="111"/>
      <c r="K171" s="84"/>
      <c r="L171" s="76"/>
      <c r="M171" s="436"/>
      <c r="N171" s="76"/>
      <c r="O171" s="76"/>
      <c r="P171" s="76"/>
      <c r="Q171" s="76"/>
      <c r="R171" s="76"/>
      <c r="S171" s="397" t="s">
        <v>23</v>
      </c>
      <c r="T171" s="241"/>
      <c r="U171" s="173"/>
      <c r="V171" s="254"/>
      <c r="W171" s="243"/>
    </row>
    <row r="172" spans="1:23" ht="126">
      <c r="A172" s="298" t="s">
        <v>1032</v>
      </c>
      <c r="B172" s="281"/>
      <c r="C172" s="37" t="s">
        <v>16</v>
      </c>
      <c r="D172" s="281" t="s">
        <v>1033</v>
      </c>
      <c r="E172" s="496" t="s">
        <v>1034</v>
      </c>
      <c r="F172" s="281" t="s">
        <v>1035</v>
      </c>
      <c r="G172" s="281"/>
      <c r="H172" s="217" t="s">
        <v>21</v>
      </c>
      <c r="I172" s="37" t="s">
        <v>531</v>
      </c>
      <c r="J172" s="189"/>
      <c r="K172" s="84"/>
      <c r="L172" s="76"/>
      <c r="M172" s="436"/>
      <c r="N172" s="76"/>
      <c r="O172" s="76"/>
      <c r="P172" s="76"/>
      <c r="Q172" s="76"/>
      <c r="R172" s="76"/>
      <c r="S172" s="397" t="s">
        <v>64</v>
      </c>
      <c r="T172" s="241" t="s">
        <v>1036</v>
      </c>
      <c r="U172" s="497"/>
      <c r="V172" s="498"/>
      <c r="W172" s="499"/>
    </row>
    <row r="173" spans="1:23" ht="28">
      <c r="A173" s="298" t="s">
        <v>1037</v>
      </c>
      <c r="B173" s="281"/>
      <c r="C173" s="37" t="s">
        <v>16</v>
      </c>
      <c r="D173" s="281" t="s">
        <v>1038</v>
      </c>
      <c r="E173" s="496" t="s">
        <v>1034</v>
      </c>
      <c r="F173" s="281" t="s">
        <v>1039</v>
      </c>
      <c r="G173" s="281"/>
      <c r="H173" s="217" t="s">
        <v>21</v>
      </c>
      <c r="I173" s="37" t="s">
        <v>531</v>
      </c>
      <c r="J173" s="189"/>
      <c r="K173" s="84"/>
      <c r="L173" s="76"/>
      <c r="M173" s="436"/>
      <c r="N173" s="76"/>
      <c r="O173" s="76"/>
      <c r="P173" s="76"/>
      <c r="Q173" s="76"/>
      <c r="R173" s="76"/>
      <c r="S173" s="397" t="s">
        <v>64</v>
      </c>
      <c r="T173" s="241" t="s">
        <v>1040</v>
      </c>
      <c r="U173" s="497"/>
      <c r="V173" s="498"/>
      <c r="W173" s="243"/>
    </row>
    <row r="174" spans="1:23" ht="70">
      <c r="A174" s="298" t="s">
        <v>1041</v>
      </c>
      <c r="B174" s="281"/>
      <c r="C174" s="37" t="s">
        <v>16</v>
      </c>
      <c r="D174" s="281" t="s">
        <v>1042</v>
      </c>
      <c r="E174" s="331" t="s">
        <v>1043</v>
      </c>
      <c r="F174" s="475" t="s">
        <v>1044</v>
      </c>
      <c r="G174" s="281"/>
      <c r="H174" s="217" t="s">
        <v>21</v>
      </c>
      <c r="I174" s="37" t="s">
        <v>531</v>
      </c>
      <c r="J174" s="189"/>
      <c r="K174" s="84"/>
      <c r="L174" s="76"/>
      <c r="M174" s="436"/>
      <c r="N174" s="76"/>
      <c r="O174" s="76"/>
      <c r="P174" s="76"/>
      <c r="Q174" s="76"/>
      <c r="R174" s="76"/>
      <c r="S174" s="397" t="s">
        <v>64</v>
      </c>
      <c r="T174" s="241" t="s">
        <v>1040</v>
      </c>
      <c r="U174" s="500"/>
      <c r="V174" s="501"/>
      <c r="W174" s="243"/>
    </row>
    <row r="175" spans="1:23" ht="56">
      <c r="A175" s="298" t="s">
        <v>1045</v>
      </c>
      <c r="B175" s="281"/>
      <c r="C175" s="37" t="s">
        <v>16</v>
      </c>
      <c r="D175" s="281" t="s">
        <v>1046</v>
      </c>
      <c r="E175" s="299" t="s">
        <v>1043</v>
      </c>
      <c r="F175" s="475" t="s">
        <v>1047</v>
      </c>
      <c r="G175" s="281"/>
      <c r="H175" s="217" t="s">
        <v>21</v>
      </c>
      <c r="I175" s="37" t="s">
        <v>531</v>
      </c>
      <c r="J175" s="189"/>
      <c r="K175" s="84"/>
      <c r="L175" s="76"/>
      <c r="M175" s="436"/>
      <c r="N175" s="76"/>
      <c r="O175" s="76"/>
      <c r="P175" s="76"/>
      <c r="Q175" s="76"/>
      <c r="R175" s="76"/>
      <c r="S175" s="397" t="s">
        <v>64</v>
      </c>
      <c r="T175" s="241" t="s">
        <v>888</v>
      </c>
      <c r="U175" s="497"/>
      <c r="V175" s="498"/>
      <c r="W175" s="285"/>
    </row>
    <row r="176" spans="1:23" ht="42">
      <c r="A176" s="292" t="s">
        <v>1048</v>
      </c>
      <c r="B176" s="277"/>
      <c r="C176" s="37" t="s">
        <v>16</v>
      </c>
      <c r="D176" s="291" t="s">
        <v>1049</v>
      </c>
      <c r="E176" s="98" t="s">
        <v>1050</v>
      </c>
      <c r="F176" s="277" t="s">
        <v>1051</v>
      </c>
      <c r="G176" s="277"/>
      <c r="H176" s="174" t="s">
        <v>21</v>
      </c>
      <c r="I176" s="288" t="s">
        <v>22</v>
      </c>
      <c r="J176" s="111"/>
      <c r="K176" s="84"/>
      <c r="L176" s="76" t="s">
        <v>23</v>
      </c>
      <c r="M176" s="436"/>
      <c r="N176" s="438"/>
      <c r="O176" s="438"/>
      <c r="P176" s="438"/>
      <c r="Q176" s="438"/>
      <c r="R176" s="438"/>
      <c r="S176" s="502"/>
      <c r="T176" s="503"/>
      <c r="U176" s="504"/>
      <c r="V176" s="383"/>
      <c r="W176" s="243"/>
    </row>
    <row r="177" spans="1:23" ht="84">
      <c r="A177" s="292" t="s">
        <v>1052</v>
      </c>
      <c r="B177" s="277"/>
      <c r="C177" s="37" t="s">
        <v>16</v>
      </c>
      <c r="D177" s="291" t="s">
        <v>1053</v>
      </c>
      <c r="E177" s="98" t="s">
        <v>1054</v>
      </c>
      <c r="F177" s="291" t="s">
        <v>1055</v>
      </c>
      <c r="G177" s="277"/>
      <c r="H177" s="174" t="s">
        <v>21</v>
      </c>
      <c r="I177" s="288" t="s">
        <v>22</v>
      </c>
      <c r="J177" s="111"/>
      <c r="K177" s="84"/>
      <c r="L177" s="76" t="s">
        <v>23</v>
      </c>
      <c r="M177" s="436"/>
      <c r="N177" s="76"/>
      <c r="O177" s="76"/>
      <c r="P177" s="76"/>
      <c r="Q177" s="76"/>
      <c r="R177" s="76"/>
      <c r="S177" s="397"/>
      <c r="T177" s="241"/>
      <c r="U177" s="172"/>
      <c r="V177" s="383"/>
      <c r="W177" s="243"/>
    </row>
    <row r="178" spans="1:23" ht="84">
      <c r="A178" s="292" t="s">
        <v>1056</v>
      </c>
      <c r="B178" s="277"/>
      <c r="C178" s="37" t="s">
        <v>16</v>
      </c>
      <c r="D178" s="291" t="s">
        <v>1057</v>
      </c>
      <c r="E178" s="98" t="s">
        <v>1054</v>
      </c>
      <c r="F178" s="291" t="s">
        <v>1058</v>
      </c>
      <c r="G178" s="277"/>
      <c r="H178" s="174" t="s">
        <v>21</v>
      </c>
      <c r="I178" s="288" t="s">
        <v>22</v>
      </c>
      <c r="J178" s="111"/>
      <c r="K178" s="84"/>
      <c r="L178" s="76"/>
      <c r="M178" s="436"/>
      <c r="N178" s="76"/>
      <c r="O178" s="76"/>
      <c r="P178" s="76"/>
      <c r="Q178" s="76"/>
      <c r="R178" s="76"/>
      <c r="S178" s="397" t="s">
        <v>64</v>
      </c>
      <c r="T178" s="241" t="s">
        <v>1023</v>
      </c>
      <c r="U178" s="173"/>
      <c r="V178" s="254"/>
      <c r="W178" s="243"/>
    </row>
    <row r="179" spans="1:23" ht="56">
      <c r="A179" s="292" t="s">
        <v>1059</v>
      </c>
      <c r="B179" s="277"/>
      <c r="C179" s="37" t="s">
        <v>16</v>
      </c>
      <c r="D179" s="291" t="s">
        <v>1060</v>
      </c>
      <c r="E179" s="98" t="s">
        <v>1054</v>
      </c>
      <c r="F179" s="291" t="s">
        <v>1061</v>
      </c>
      <c r="G179" s="277"/>
      <c r="H179" s="174" t="s">
        <v>21</v>
      </c>
      <c r="I179" s="288" t="s">
        <v>22</v>
      </c>
      <c r="J179" s="111"/>
      <c r="K179" s="84"/>
      <c r="L179" s="76"/>
      <c r="M179" s="436"/>
      <c r="N179" s="76"/>
      <c r="O179" s="76"/>
      <c r="P179" s="76"/>
      <c r="Q179" s="76"/>
      <c r="R179" s="76"/>
      <c r="S179" s="397" t="s">
        <v>64</v>
      </c>
      <c r="T179" s="241" t="s">
        <v>1023</v>
      </c>
      <c r="U179" s="173"/>
      <c r="V179" s="254"/>
      <c r="W179" s="243"/>
    </row>
    <row r="180" spans="1:23" ht="42">
      <c r="A180" s="292" t="s">
        <v>1062</v>
      </c>
      <c r="B180" s="277"/>
      <c r="C180" s="37" t="s">
        <v>16</v>
      </c>
      <c r="D180" s="277" t="s">
        <v>1063</v>
      </c>
      <c r="E180" s="98" t="s">
        <v>1050</v>
      </c>
      <c r="F180" s="277" t="s">
        <v>1064</v>
      </c>
      <c r="G180" s="277"/>
      <c r="H180" s="174" t="s">
        <v>21</v>
      </c>
      <c r="I180" s="288" t="s">
        <v>22</v>
      </c>
      <c r="J180" s="111"/>
      <c r="K180" s="84"/>
      <c r="L180" s="76" t="s">
        <v>23</v>
      </c>
      <c r="M180" s="436"/>
      <c r="N180" s="76"/>
      <c r="O180" s="76"/>
      <c r="P180" s="76"/>
      <c r="Q180" s="76"/>
      <c r="R180" s="76"/>
      <c r="S180" s="397"/>
      <c r="T180" s="241"/>
      <c r="U180" s="172"/>
      <c r="V180" s="383"/>
      <c r="W180" s="243"/>
    </row>
    <row r="181" spans="1:23" ht="84">
      <c r="A181" s="292" t="s">
        <v>1065</v>
      </c>
      <c r="B181" s="277"/>
      <c r="C181" s="37" t="s">
        <v>16</v>
      </c>
      <c r="D181" s="277" t="s">
        <v>1066</v>
      </c>
      <c r="E181" s="98" t="s">
        <v>1067</v>
      </c>
      <c r="F181" s="277" t="s">
        <v>1068</v>
      </c>
      <c r="G181" s="277"/>
      <c r="H181" s="174" t="s">
        <v>21</v>
      </c>
      <c r="I181" s="288" t="s">
        <v>22</v>
      </c>
      <c r="J181" s="111"/>
      <c r="K181" s="84"/>
      <c r="L181" s="76" t="s">
        <v>64</v>
      </c>
      <c r="M181" s="436"/>
      <c r="N181" s="76"/>
      <c r="O181" s="76"/>
      <c r="P181" s="76"/>
      <c r="Q181" s="76"/>
      <c r="R181" s="76"/>
      <c r="S181" s="397"/>
      <c r="T181" s="241"/>
      <c r="U181" s="173"/>
      <c r="V181" s="505" t="s">
        <v>3227</v>
      </c>
      <c r="W181" s="243"/>
    </row>
    <row r="182" spans="1:23" ht="56">
      <c r="A182" s="292" t="s">
        <v>1069</v>
      </c>
      <c r="B182" s="277"/>
      <c r="C182" s="37" t="s">
        <v>16</v>
      </c>
      <c r="D182" s="277" t="s">
        <v>1070</v>
      </c>
      <c r="E182" s="98" t="s">
        <v>1071</v>
      </c>
      <c r="F182" s="291" t="s">
        <v>1072</v>
      </c>
      <c r="G182" s="277"/>
      <c r="H182" s="174" t="s">
        <v>21</v>
      </c>
      <c r="I182" s="288" t="s">
        <v>22</v>
      </c>
      <c r="J182" s="111"/>
      <c r="K182" s="84"/>
      <c r="L182" s="76" t="s">
        <v>23</v>
      </c>
      <c r="M182" s="436"/>
      <c r="N182" s="76"/>
      <c r="O182" s="76"/>
      <c r="P182" s="76"/>
      <c r="Q182" s="76"/>
      <c r="R182" s="76"/>
      <c r="S182" s="397"/>
      <c r="T182" s="241"/>
      <c r="U182" s="173"/>
      <c r="V182" s="254"/>
      <c r="W182" s="243"/>
    </row>
    <row r="183" spans="1:23" ht="99">
      <c r="A183" s="292" t="s">
        <v>1073</v>
      </c>
      <c r="B183" s="277"/>
      <c r="C183" s="37" t="s">
        <v>16</v>
      </c>
      <c r="D183" s="291" t="s">
        <v>1074</v>
      </c>
      <c r="E183" s="98"/>
      <c r="F183" s="277" t="s">
        <v>3228</v>
      </c>
      <c r="G183" s="277"/>
      <c r="H183" s="174" t="s">
        <v>21</v>
      </c>
      <c r="I183" s="288" t="s">
        <v>22</v>
      </c>
      <c r="J183" s="104"/>
      <c r="K183" s="76"/>
      <c r="L183" s="76" t="s">
        <v>23</v>
      </c>
      <c r="M183" s="436"/>
      <c r="N183" s="438"/>
      <c r="O183" s="438"/>
      <c r="P183" s="438"/>
      <c r="Q183" s="438"/>
      <c r="R183" s="438"/>
      <c r="S183" s="502"/>
      <c r="T183" s="503"/>
      <c r="U183" s="504"/>
      <c r="V183" s="383"/>
      <c r="W183" s="243"/>
    </row>
    <row r="184" spans="1:23" ht="70">
      <c r="A184" s="292" t="s">
        <v>1075</v>
      </c>
      <c r="B184" s="277"/>
      <c r="C184" s="37" t="s">
        <v>16</v>
      </c>
      <c r="D184" s="184" t="s">
        <v>1076</v>
      </c>
      <c r="E184" s="98" t="s">
        <v>1077</v>
      </c>
      <c r="F184" s="184" t="s">
        <v>1078</v>
      </c>
      <c r="G184" s="277"/>
      <c r="H184" s="174" t="s">
        <v>21</v>
      </c>
      <c r="I184" s="288" t="s">
        <v>22</v>
      </c>
      <c r="J184" s="111"/>
      <c r="K184" s="84"/>
      <c r="L184" s="76" t="s">
        <v>64</v>
      </c>
      <c r="M184" s="436"/>
      <c r="N184" s="76"/>
      <c r="O184" s="76"/>
      <c r="P184" s="76"/>
      <c r="Q184" s="76"/>
      <c r="R184" s="76"/>
      <c r="S184" s="397"/>
      <c r="T184" s="241"/>
      <c r="U184" s="173" t="s">
        <v>1079</v>
      </c>
      <c r="V184" s="505" t="s">
        <v>3229</v>
      </c>
      <c r="W184" s="243"/>
    </row>
    <row r="185" spans="1:23" ht="84">
      <c r="A185" s="292" t="s">
        <v>1080</v>
      </c>
      <c r="B185" s="277"/>
      <c r="C185" s="37" t="s">
        <v>16</v>
      </c>
      <c r="D185" s="184" t="s">
        <v>1081</v>
      </c>
      <c r="E185" s="98" t="s">
        <v>1082</v>
      </c>
      <c r="F185" s="184" t="s">
        <v>1083</v>
      </c>
      <c r="G185" s="277"/>
      <c r="H185" s="174" t="s">
        <v>21</v>
      </c>
      <c r="I185" s="288" t="s">
        <v>22</v>
      </c>
      <c r="J185" s="111"/>
      <c r="K185" s="84"/>
      <c r="L185" s="76" t="s">
        <v>64</v>
      </c>
      <c r="M185" s="436"/>
      <c r="N185" s="76"/>
      <c r="O185" s="76"/>
      <c r="P185" s="76"/>
      <c r="Q185" s="76"/>
      <c r="R185" s="76"/>
      <c r="S185" s="397"/>
      <c r="T185" s="241"/>
      <c r="U185" s="173"/>
      <c r="V185" s="505" t="s">
        <v>3230</v>
      </c>
      <c r="W185" s="243"/>
    </row>
    <row r="186" spans="1:23" ht="70">
      <c r="A186" s="292" t="s">
        <v>1084</v>
      </c>
      <c r="B186" s="277"/>
      <c r="C186" s="37" t="s">
        <v>16</v>
      </c>
      <c r="D186" s="277" t="s">
        <v>1085</v>
      </c>
      <c r="E186" s="98" t="s">
        <v>815</v>
      </c>
      <c r="F186" s="277" t="s">
        <v>1086</v>
      </c>
      <c r="G186" s="277"/>
      <c r="H186" s="174" t="s">
        <v>21</v>
      </c>
      <c r="I186" s="288" t="s">
        <v>22</v>
      </c>
      <c r="J186" s="111"/>
      <c r="K186" s="84"/>
      <c r="L186" s="76" t="s">
        <v>23</v>
      </c>
      <c r="M186" s="436"/>
      <c r="N186" s="76"/>
      <c r="O186" s="76"/>
      <c r="P186" s="76"/>
      <c r="Q186" s="76"/>
      <c r="R186" s="76"/>
      <c r="S186" s="397"/>
      <c r="T186" s="241"/>
      <c r="U186" s="173"/>
      <c r="V186" s="254"/>
      <c r="W186" s="243"/>
    </row>
    <row r="187" spans="1:23" ht="56">
      <c r="A187" s="298" t="s">
        <v>1087</v>
      </c>
      <c r="B187" s="506"/>
      <c r="C187" s="37" t="s">
        <v>16</v>
      </c>
      <c r="D187" s="281" t="s">
        <v>1088</v>
      </c>
      <c r="E187" s="507" t="s">
        <v>1089</v>
      </c>
      <c r="F187" s="281" t="s">
        <v>1090</v>
      </c>
      <c r="G187" s="281"/>
      <c r="H187" s="217" t="s">
        <v>21</v>
      </c>
      <c r="I187" s="37" t="s">
        <v>22</v>
      </c>
      <c r="J187" s="189"/>
      <c r="K187" s="84"/>
      <c r="L187" s="76"/>
      <c r="M187" s="198"/>
      <c r="N187" s="76"/>
      <c r="O187" s="76"/>
      <c r="P187" s="76"/>
      <c r="Q187" s="76"/>
      <c r="R187" s="76"/>
      <c r="S187" s="397" t="s">
        <v>64</v>
      </c>
      <c r="T187" s="241" t="s">
        <v>1091</v>
      </c>
      <c r="U187" s="497"/>
      <c r="V187" s="498"/>
      <c r="W187" s="285"/>
    </row>
    <row r="188" spans="1:23" ht="42">
      <c r="A188" s="298" t="s">
        <v>1092</v>
      </c>
      <c r="B188" s="506"/>
      <c r="C188" s="37" t="s">
        <v>16</v>
      </c>
      <c r="D188" s="508" t="s">
        <v>1093</v>
      </c>
      <c r="E188" s="507" t="s">
        <v>1089</v>
      </c>
      <c r="F188" s="281" t="s">
        <v>1094</v>
      </c>
      <c r="G188" s="281"/>
      <c r="H188" s="217" t="s">
        <v>21</v>
      </c>
      <c r="I188" s="37" t="s">
        <v>22</v>
      </c>
      <c r="J188" s="189"/>
      <c r="K188" s="84"/>
      <c r="L188" s="76"/>
      <c r="M188" s="198"/>
      <c r="N188" s="76"/>
      <c r="O188" s="76"/>
      <c r="P188" s="76"/>
      <c r="Q188" s="76"/>
      <c r="R188" s="76"/>
      <c r="S188" s="397" t="s">
        <v>64</v>
      </c>
      <c r="T188" s="241" t="s">
        <v>1091</v>
      </c>
      <c r="U188" s="497"/>
      <c r="V188" s="498"/>
      <c r="W188" s="285"/>
    </row>
    <row r="189" spans="1:23" ht="56">
      <c r="A189" s="170" t="s">
        <v>1095</v>
      </c>
      <c r="B189" s="174"/>
      <c r="C189" s="37" t="s">
        <v>16</v>
      </c>
      <c r="D189" s="170" t="s">
        <v>1096</v>
      </c>
      <c r="E189" s="174"/>
      <c r="F189" s="172" t="s">
        <v>1097</v>
      </c>
      <c r="G189" s="172" t="s">
        <v>1098</v>
      </c>
      <c r="H189" s="174" t="s">
        <v>21</v>
      </c>
      <c r="I189" s="288" t="s">
        <v>22</v>
      </c>
      <c r="J189" s="104"/>
      <c r="K189" s="76"/>
      <c r="L189" s="76" t="s">
        <v>64</v>
      </c>
      <c r="M189" s="198"/>
      <c r="N189" s="76"/>
      <c r="O189" s="76"/>
      <c r="P189" s="76"/>
      <c r="Q189" s="76"/>
      <c r="R189" s="76"/>
      <c r="S189" s="176"/>
      <c r="T189" s="211"/>
      <c r="U189" s="407"/>
      <c r="V189" s="168" t="s">
        <v>3231</v>
      </c>
      <c r="W189" s="243"/>
    </row>
    <row r="190" spans="1:23" ht="42">
      <c r="A190" s="170" t="s">
        <v>1099</v>
      </c>
      <c r="B190" s="174"/>
      <c r="C190" s="37" t="s">
        <v>16</v>
      </c>
      <c r="D190" s="170" t="s">
        <v>1100</v>
      </c>
      <c r="E190" s="174"/>
      <c r="F190" s="172" t="s">
        <v>1101</v>
      </c>
      <c r="G190" s="172" t="s">
        <v>1102</v>
      </c>
      <c r="H190" s="174" t="s">
        <v>21</v>
      </c>
      <c r="I190" s="288" t="s">
        <v>22</v>
      </c>
      <c r="J190" s="111"/>
      <c r="K190" s="84"/>
      <c r="L190" s="76"/>
      <c r="M190" s="198" t="s">
        <v>23</v>
      </c>
      <c r="N190" s="76"/>
      <c r="O190" s="76"/>
      <c r="P190" s="76"/>
      <c r="Q190" s="76"/>
      <c r="R190" s="76"/>
      <c r="S190" s="176"/>
      <c r="T190" s="177"/>
      <c r="U190" s="220" t="s">
        <v>1103</v>
      </c>
      <c r="V190" s="59"/>
      <c r="W190" s="243"/>
    </row>
    <row r="191" spans="1:23" ht="112">
      <c r="A191" s="170" t="s">
        <v>1104</v>
      </c>
      <c r="B191" s="174"/>
      <c r="C191" s="37" t="s">
        <v>16</v>
      </c>
      <c r="D191" s="170" t="s">
        <v>1105</v>
      </c>
      <c r="E191" s="174"/>
      <c r="F191" s="172" t="s">
        <v>1106</v>
      </c>
      <c r="G191" s="509" t="s">
        <v>1107</v>
      </c>
      <c r="H191" s="174" t="s">
        <v>21</v>
      </c>
      <c r="I191" s="288" t="s">
        <v>22</v>
      </c>
      <c r="J191" s="111"/>
      <c r="K191" s="84"/>
      <c r="L191" s="76"/>
      <c r="M191" s="198" t="s">
        <v>64</v>
      </c>
      <c r="N191" s="76"/>
      <c r="O191" s="76"/>
      <c r="P191" s="76" t="s">
        <v>23</v>
      </c>
      <c r="Q191" s="76"/>
      <c r="R191" s="76"/>
      <c r="S191" s="176"/>
      <c r="T191" s="211"/>
      <c r="U191" s="212" t="s">
        <v>1043</v>
      </c>
      <c r="V191" s="168" t="s">
        <v>3232</v>
      </c>
      <c r="W191" s="243"/>
    </row>
    <row r="192" spans="1:23" ht="42">
      <c r="A192" s="171" t="s">
        <v>1108</v>
      </c>
      <c r="B192" s="174"/>
      <c r="C192" s="37" t="s">
        <v>16</v>
      </c>
      <c r="D192" s="170" t="s">
        <v>1109</v>
      </c>
      <c r="E192" s="171" t="s">
        <v>306</v>
      </c>
      <c r="F192" s="172" t="s">
        <v>1110</v>
      </c>
      <c r="G192" s="172" t="s">
        <v>1111</v>
      </c>
      <c r="H192" s="174" t="s">
        <v>21</v>
      </c>
      <c r="I192" s="288" t="s">
        <v>22</v>
      </c>
      <c r="J192" s="111"/>
      <c r="K192" s="84"/>
      <c r="L192" s="76"/>
      <c r="M192" s="76"/>
      <c r="N192" s="360" t="s">
        <v>23</v>
      </c>
      <c r="O192" s="360"/>
      <c r="P192" s="360"/>
      <c r="Q192" s="360"/>
      <c r="R192" s="360"/>
      <c r="S192" s="206"/>
      <c r="T192" s="207"/>
      <c r="U192" s="510" t="s">
        <v>1043</v>
      </c>
      <c r="V192" s="59"/>
      <c r="W192" s="243"/>
    </row>
    <row r="193" spans="1:23" ht="56">
      <c r="A193" s="171" t="s">
        <v>1112</v>
      </c>
      <c r="B193" s="174"/>
      <c r="C193" s="37" t="s">
        <v>16</v>
      </c>
      <c r="D193" s="106" t="s">
        <v>1113</v>
      </c>
      <c r="E193" s="174"/>
      <c r="F193" s="106" t="s">
        <v>1114</v>
      </c>
      <c r="G193" s="172"/>
      <c r="H193" s="174" t="s">
        <v>21</v>
      </c>
      <c r="I193" s="288" t="s">
        <v>22</v>
      </c>
      <c r="J193" s="111"/>
      <c r="K193" s="84"/>
      <c r="L193" s="76"/>
      <c r="M193" s="76"/>
      <c r="N193" s="175"/>
      <c r="O193" s="175"/>
      <c r="P193" s="175"/>
      <c r="Q193" s="175"/>
      <c r="R193" s="175" t="s">
        <v>23</v>
      </c>
      <c r="S193" s="176"/>
      <c r="T193" s="211"/>
      <c r="U193" s="212"/>
      <c r="V193" s="37"/>
      <c r="W193" s="243"/>
    </row>
    <row r="194" spans="1:23" ht="56">
      <c r="A194" s="171" t="s">
        <v>1115</v>
      </c>
      <c r="B194" s="174"/>
      <c r="C194" s="37" t="s">
        <v>16</v>
      </c>
      <c r="D194" s="106" t="s">
        <v>1116</v>
      </c>
      <c r="E194" s="174"/>
      <c r="F194" s="106" t="s">
        <v>1117</v>
      </c>
      <c r="G194" s="172"/>
      <c r="H194" s="174" t="s">
        <v>21</v>
      </c>
      <c r="I194" s="288" t="s">
        <v>22</v>
      </c>
      <c r="J194" s="111"/>
      <c r="K194" s="84"/>
      <c r="L194" s="76"/>
      <c r="M194" s="76"/>
      <c r="N194" s="175"/>
      <c r="O194" s="175"/>
      <c r="P194" s="175"/>
      <c r="Q194" s="175"/>
      <c r="R194" s="175" t="s">
        <v>23</v>
      </c>
      <c r="S194" s="176"/>
      <c r="T194" s="211"/>
      <c r="U194" s="212"/>
      <c r="V194" s="37"/>
      <c r="W194" s="243"/>
    </row>
    <row r="195" spans="1:23" ht="56">
      <c r="A195" s="171" t="s">
        <v>1118</v>
      </c>
      <c r="B195" s="174"/>
      <c r="C195" s="37" t="s">
        <v>16</v>
      </c>
      <c r="D195" s="184" t="s">
        <v>1119</v>
      </c>
      <c r="E195" s="174"/>
      <c r="F195" s="106" t="s">
        <v>1120</v>
      </c>
      <c r="G195" s="172"/>
      <c r="H195" s="174" t="s">
        <v>21</v>
      </c>
      <c r="I195" s="288" t="s">
        <v>22</v>
      </c>
      <c r="J195" s="111"/>
      <c r="K195" s="84"/>
      <c r="L195" s="76"/>
      <c r="M195" s="76"/>
      <c r="N195" s="175"/>
      <c r="O195" s="175"/>
      <c r="P195" s="175"/>
      <c r="Q195" s="175"/>
      <c r="R195" s="175" t="s">
        <v>23</v>
      </c>
      <c r="S195" s="176"/>
      <c r="T195" s="211"/>
      <c r="U195" s="212"/>
      <c r="V195" s="37"/>
      <c r="W195" s="243"/>
    </row>
    <row r="196" spans="1:23" ht="56">
      <c r="A196" s="171" t="s">
        <v>1121</v>
      </c>
      <c r="B196" s="174"/>
      <c r="C196" s="37" t="s">
        <v>16</v>
      </c>
      <c r="D196" s="184" t="s">
        <v>1122</v>
      </c>
      <c r="E196" s="174"/>
      <c r="F196" s="106" t="s">
        <v>1123</v>
      </c>
      <c r="G196" s="172"/>
      <c r="H196" s="174" t="s">
        <v>21</v>
      </c>
      <c r="I196" s="288" t="s">
        <v>22</v>
      </c>
      <c r="J196" s="111"/>
      <c r="K196" s="84"/>
      <c r="L196" s="76"/>
      <c r="M196" s="76"/>
      <c r="N196" s="175" t="s">
        <v>23</v>
      </c>
      <c r="O196" s="175"/>
      <c r="P196" s="175"/>
      <c r="Q196" s="175"/>
      <c r="R196" s="175"/>
      <c r="S196" s="176"/>
      <c r="T196" s="211"/>
      <c r="U196" s="212"/>
      <c r="V196" s="37"/>
      <c r="W196" s="243"/>
    </row>
    <row r="197" spans="1:23" ht="56">
      <c r="A197" s="171" t="s">
        <v>1124</v>
      </c>
      <c r="B197" s="174"/>
      <c r="C197" s="37" t="s">
        <v>16</v>
      </c>
      <c r="D197" s="184" t="s">
        <v>1125</v>
      </c>
      <c r="E197" s="174"/>
      <c r="F197" s="106" t="s">
        <v>1126</v>
      </c>
      <c r="G197" s="172"/>
      <c r="H197" s="174" t="s">
        <v>21</v>
      </c>
      <c r="I197" s="288" t="s">
        <v>22</v>
      </c>
      <c r="J197" s="111"/>
      <c r="K197" s="84"/>
      <c r="L197" s="76"/>
      <c r="M197" s="76"/>
      <c r="N197" s="175" t="s">
        <v>23</v>
      </c>
      <c r="O197" s="175"/>
      <c r="P197" s="175"/>
      <c r="Q197" s="175"/>
      <c r="R197" s="175"/>
      <c r="S197" s="176"/>
      <c r="T197" s="211"/>
      <c r="U197" s="212"/>
      <c r="V197" s="37"/>
      <c r="W197" s="243"/>
    </row>
    <row r="198" spans="1:23" ht="40.5">
      <c r="A198" s="344" t="s">
        <v>1127</v>
      </c>
      <c r="B198" s="217"/>
      <c r="C198" s="37" t="s">
        <v>16</v>
      </c>
      <c r="D198" s="396" t="s">
        <v>1128</v>
      </c>
      <c r="E198" s="217" t="s">
        <v>626</v>
      </c>
      <c r="G198" s="192"/>
      <c r="H198" s="217" t="s">
        <v>21</v>
      </c>
      <c r="I198" s="37" t="s">
        <v>22</v>
      </c>
      <c r="J198" s="189"/>
      <c r="K198" s="84"/>
      <c r="L198" s="76"/>
      <c r="M198" s="76"/>
      <c r="N198" s="175"/>
      <c r="O198" s="175"/>
      <c r="P198" s="175"/>
      <c r="Q198" s="175"/>
      <c r="R198" s="175"/>
      <c r="S198" s="176" t="s">
        <v>23</v>
      </c>
      <c r="T198" s="199" t="s">
        <v>3233</v>
      </c>
      <c r="U198" s="284"/>
      <c r="V198" s="238"/>
      <c r="W198" s="511"/>
    </row>
    <row r="199" spans="1:23">
      <c r="A199" s="344" t="s">
        <v>1129</v>
      </c>
      <c r="B199" s="217"/>
      <c r="C199" s="37" t="s">
        <v>16</v>
      </c>
      <c r="D199" s="281" t="s">
        <v>1130</v>
      </c>
      <c r="E199" s="217" t="s">
        <v>626</v>
      </c>
      <c r="F199" s="192"/>
      <c r="G199" s="192"/>
      <c r="H199" s="217" t="s">
        <v>21</v>
      </c>
      <c r="I199" s="37" t="s">
        <v>22</v>
      </c>
      <c r="J199" s="189"/>
      <c r="K199" s="84"/>
      <c r="L199" s="76"/>
      <c r="M199" s="76"/>
      <c r="N199" s="175"/>
      <c r="O199" s="175"/>
      <c r="P199" s="175"/>
      <c r="Q199" s="175"/>
      <c r="R199" s="175"/>
      <c r="S199" s="176" t="s">
        <v>23</v>
      </c>
      <c r="T199" s="199" t="s">
        <v>3234</v>
      </c>
      <c r="U199" s="284"/>
      <c r="V199" s="238"/>
      <c r="W199" s="243"/>
    </row>
    <row r="200" spans="1:23" ht="264">
      <c r="A200" s="116" t="s">
        <v>1131</v>
      </c>
      <c r="B200" s="37"/>
      <c r="C200" s="37" t="s">
        <v>16</v>
      </c>
      <c r="D200" s="512" t="s">
        <v>1132</v>
      </c>
      <c r="E200" s="100" t="s">
        <v>850</v>
      </c>
      <c r="F200" s="513" t="s">
        <v>3235</v>
      </c>
      <c r="G200" s="514" t="s">
        <v>1133</v>
      </c>
      <c r="H200" s="174" t="s">
        <v>21</v>
      </c>
      <c r="I200" s="283" t="s">
        <v>22</v>
      </c>
      <c r="J200" s="76"/>
      <c r="K200" s="76"/>
      <c r="L200" s="76" t="s">
        <v>64</v>
      </c>
      <c r="M200" s="76"/>
      <c r="N200" s="175"/>
      <c r="O200" s="175"/>
      <c r="P200" s="175"/>
      <c r="Q200" s="175"/>
      <c r="R200" s="175"/>
      <c r="S200" s="176"/>
      <c r="T200" s="515"/>
      <c r="U200" s="516"/>
      <c r="V200" s="517"/>
      <c r="W200" s="243"/>
    </row>
    <row r="201" spans="1:23" ht="42">
      <c r="A201" s="518" t="s">
        <v>1134</v>
      </c>
      <c r="B201" s="373"/>
      <c r="C201" s="201" t="s">
        <v>16</v>
      </c>
      <c r="D201" s="518" t="s">
        <v>1135</v>
      </c>
      <c r="E201" s="519" t="s">
        <v>626</v>
      </c>
      <c r="F201" s="520" t="s">
        <v>1136</v>
      </c>
      <c r="G201" s="373"/>
      <c r="H201" s="373" t="s">
        <v>21</v>
      </c>
      <c r="I201" s="521" t="s">
        <v>22</v>
      </c>
      <c r="J201" s="375"/>
      <c r="K201" s="204"/>
      <c r="L201" s="204"/>
      <c r="M201" s="204"/>
      <c r="N201" s="522"/>
      <c r="O201" s="522"/>
      <c r="P201" s="522"/>
      <c r="Q201" s="522"/>
      <c r="R201" s="522"/>
      <c r="S201" s="176" t="s">
        <v>64</v>
      </c>
      <c r="T201" s="199" t="s">
        <v>3236</v>
      </c>
      <c r="U201" s="523"/>
      <c r="V201" s="201"/>
      <c r="W201" s="380"/>
    </row>
    <row r="202" spans="1:23" ht="40.5">
      <c r="A202" s="524" t="s">
        <v>1137</v>
      </c>
      <c r="B202" s="525"/>
      <c r="C202" s="201" t="s">
        <v>16</v>
      </c>
      <c r="D202" s="524" t="s">
        <v>1138</v>
      </c>
      <c r="E202" s="519" t="s">
        <v>626</v>
      </c>
      <c r="F202" s="526" t="s">
        <v>1139</v>
      </c>
      <c r="G202" s="525"/>
      <c r="H202" s="373" t="s">
        <v>21</v>
      </c>
      <c r="I202" s="521" t="s">
        <v>22</v>
      </c>
      <c r="J202" s="375"/>
      <c r="K202" s="204"/>
      <c r="L202" s="204"/>
      <c r="M202" s="204"/>
      <c r="N202" s="522"/>
      <c r="O202" s="522"/>
      <c r="P202" s="522"/>
      <c r="Q202" s="522"/>
      <c r="R202" s="522"/>
      <c r="S202" s="176" t="s">
        <v>64</v>
      </c>
      <c r="T202" s="199" t="s">
        <v>3237</v>
      </c>
      <c r="U202" s="523"/>
      <c r="V202" s="201"/>
      <c r="W202" s="380"/>
    </row>
    <row r="203" spans="1:23" ht="42">
      <c r="A203" s="170" t="s">
        <v>1140</v>
      </c>
      <c r="B203" s="174"/>
      <c r="C203" s="37" t="s">
        <v>16</v>
      </c>
      <c r="D203" s="172" t="s">
        <v>1141</v>
      </c>
      <c r="E203" s="172"/>
      <c r="F203" s="172" t="s">
        <v>1142</v>
      </c>
      <c r="G203" s="173"/>
      <c r="H203" s="174" t="s">
        <v>21</v>
      </c>
      <c r="I203" s="527" t="s">
        <v>22</v>
      </c>
      <c r="J203" s="111"/>
      <c r="K203" s="84"/>
      <c r="L203" s="76"/>
      <c r="M203" s="76" t="s">
        <v>23</v>
      </c>
      <c r="N203" s="358"/>
      <c r="O203" s="358"/>
      <c r="P203" s="358"/>
      <c r="Q203" s="358"/>
      <c r="R203" s="358"/>
      <c r="S203" s="195"/>
      <c r="T203" s="196"/>
      <c r="U203" s="220" t="s">
        <v>1143</v>
      </c>
      <c r="V203" s="59"/>
      <c r="W203" s="243"/>
    </row>
    <row r="204" spans="1:23" ht="284.25" customHeight="1">
      <c r="A204" s="215" t="s">
        <v>1144</v>
      </c>
      <c r="B204" s="174"/>
      <c r="C204" s="37" t="s">
        <v>16</v>
      </c>
      <c r="D204" s="292" t="s">
        <v>1145</v>
      </c>
      <c r="E204" s="292"/>
      <c r="F204" s="292" t="s">
        <v>1146</v>
      </c>
      <c r="G204" s="292" t="s">
        <v>1147</v>
      </c>
      <c r="H204" s="174" t="s">
        <v>21</v>
      </c>
      <c r="I204" s="249" t="s">
        <v>22</v>
      </c>
      <c r="J204" s="111"/>
      <c r="K204" s="84"/>
      <c r="L204" s="76"/>
      <c r="M204" s="436"/>
      <c r="N204" s="76"/>
      <c r="O204" s="76"/>
      <c r="P204" s="76"/>
      <c r="Q204" s="76"/>
      <c r="R204" s="76"/>
      <c r="S204" s="251" t="s">
        <v>64</v>
      </c>
      <c r="T204" s="388"/>
      <c r="U204" s="253" t="s">
        <v>616</v>
      </c>
      <c r="V204" s="37"/>
      <c r="W204" s="243"/>
    </row>
    <row r="205" spans="1:23" ht="98">
      <c r="A205" s="215" t="s">
        <v>1148</v>
      </c>
      <c r="B205" s="174"/>
      <c r="C205" s="37" t="s">
        <v>16</v>
      </c>
      <c r="D205" s="292" t="s">
        <v>1149</v>
      </c>
      <c r="E205" s="292"/>
      <c r="F205" s="292" t="s">
        <v>1150</v>
      </c>
      <c r="G205" s="292" t="s">
        <v>1151</v>
      </c>
      <c r="H205" s="174" t="s">
        <v>21</v>
      </c>
      <c r="I205" s="249" t="s">
        <v>22</v>
      </c>
      <c r="J205" s="111"/>
      <c r="K205" s="84"/>
      <c r="L205" s="76"/>
      <c r="M205" s="198"/>
      <c r="N205" s="76"/>
      <c r="O205" s="76"/>
      <c r="P205" s="76"/>
      <c r="Q205" s="76"/>
      <c r="R205" s="76"/>
      <c r="S205" s="365" t="s">
        <v>64</v>
      </c>
      <c r="T205" s="366"/>
      <c r="U205" s="528" t="s">
        <v>621</v>
      </c>
      <c r="V205" s="37"/>
      <c r="W205" s="243"/>
    </row>
    <row r="206" spans="1:23" ht="98">
      <c r="A206" s="215" t="s">
        <v>1152</v>
      </c>
      <c r="B206" s="174"/>
      <c r="C206" s="37" t="s">
        <v>16</v>
      </c>
      <c r="D206" s="215" t="s">
        <v>1153</v>
      </c>
      <c r="E206" s="292"/>
      <c r="F206" s="292" t="s">
        <v>1154</v>
      </c>
      <c r="G206" s="292" t="s">
        <v>1155</v>
      </c>
      <c r="H206" s="174" t="s">
        <v>21</v>
      </c>
      <c r="I206" s="249" t="s">
        <v>22</v>
      </c>
      <c r="J206" s="111"/>
      <c r="K206" s="84"/>
      <c r="L206" s="76"/>
      <c r="M206" s="76"/>
      <c r="N206" s="360"/>
      <c r="O206" s="360"/>
      <c r="P206" s="360"/>
      <c r="Q206" s="360"/>
      <c r="R206" s="360"/>
      <c r="S206" s="206" t="s">
        <v>23</v>
      </c>
      <c r="T206" s="529"/>
      <c r="U206" s="212" t="s">
        <v>1156</v>
      </c>
      <c r="V206" s="37"/>
      <c r="W206" s="243"/>
    </row>
    <row r="207" spans="1:23" ht="115.5">
      <c r="A207" s="216" t="s">
        <v>1157</v>
      </c>
      <c r="B207" s="217"/>
      <c r="C207" s="37" t="s">
        <v>16</v>
      </c>
      <c r="D207" s="216" t="s">
        <v>1158</v>
      </c>
      <c r="E207" s="298"/>
      <c r="F207" s="298" t="s">
        <v>3238</v>
      </c>
      <c r="G207" s="298" t="s">
        <v>1159</v>
      </c>
      <c r="H207" s="217" t="s">
        <v>21</v>
      </c>
      <c r="I207" s="350" t="s">
        <v>22</v>
      </c>
      <c r="J207" s="189"/>
      <c r="K207" s="84"/>
      <c r="L207" s="76"/>
      <c r="M207" s="76"/>
      <c r="N207" s="175"/>
      <c r="O207" s="175"/>
      <c r="P207" s="175"/>
      <c r="Q207" s="175"/>
      <c r="R207" s="175"/>
      <c r="S207" s="176" t="s">
        <v>64</v>
      </c>
      <c r="T207" s="177"/>
      <c r="U207" s="220" t="s">
        <v>1160</v>
      </c>
      <c r="V207" s="59"/>
      <c r="W207" s="243"/>
    </row>
    <row r="208" spans="1:23" ht="98">
      <c r="A208" s="215" t="s">
        <v>1161</v>
      </c>
      <c r="B208" s="174"/>
      <c r="C208" s="37" t="s">
        <v>16</v>
      </c>
      <c r="D208" s="215" t="s">
        <v>1162</v>
      </c>
      <c r="E208" s="292"/>
      <c r="F208" s="292" t="s">
        <v>1163</v>
      </c>
      <c r="G208" s="292" t="s">
        <v>1164</v>
      </c>
      <c r="H208" s="174" t="s">
        <v>21</v>
      </c>
      <c r="I208" s="249" t="s">
        <v>22</v>
      </c>
      <c r="J208" s="111"/>
      <c r="K208" s="84"/>
      <c r="L208" s="76"/>
      <c r="M208" s="76"/>
      <c r="N208" s="175"/>
      <c r="O208" s="175"/>
      <c r="P208" s="175"/>
      <c r="Q208" s="175"/>
      <c r="R208" s="175"/>
      <c r="S208" s="176" t="s">
        <v>23</v>
      </c>
      <c r="T208" s="211"/>
      <c r="U208" s="212" t="s">
        <v>1165</v>
      </c>
      <c r="V208" s="37"/>
      <c r="W208" s="243"/>
    </row>
    <row r="209" spans="1:23" ht="181.5">
      <c r="A209" s="216" t="s">
        <v>1166</v>
      </c>
      <c r="B209" s="217"/>
      <c r="C209" s="37" t="s">
        <v>16</v>
      </c>
      <c r="D209" s="386" t="s">
        <v>1167</v>
      </c>
      <c r="E209" s="298"/>
      <c r="F209" s="298" t="s">
        <v>3239</v>
      </c>
      <c r="G209" s="298" t="s">
        <v>1164</v>
      </c>
      <c r="H209" s="217" t="s">
        <v>21</v>
      </c>
      <c r="I209" s="350" t="s">
        <v>22</v>
      </c>
      <c r="J209" s="189"/>
      <c r="K209" s="84"/>
      <c r="L209" s="76"/>
      <c r="M209" s="76"/>
      <c r="N209" s="175"/>
      <c r="O209" s="175"/>
      <c r="P209" s="175"/>
      <c r="Q209" s="175"/>
      <c r="R209" s="175"/>
      <c r="S209" s="176" t="s">
        <v>64</v>
      </c>
      <c r="T209" s="177"/>
      <c r="U209" s="212" t="s">
        <v>1168</v>
      </c>
      <c r="V209" s="37"/>
      <c r="W209" s="285"/>
    </row>
    <row r="210" spans="1:23" ht="98">
      <c r="A210" s="216" t="s">
        <v>1169</v>
      </c>
      <c r="B210" s="217"/>
      <c r="C210" s="37" t="s">
        <v>16</v>
      </c>
      <c r="D210" s="298" t="s">
        <v>1170</v>
      </c>
      <c r="E210" s="298"/>
      <c r="F210" s="298" t="s">
        <v>1171</v>
      </c>
      <c r="G210" s="216" t="s">
        <v>1172</v>
      </c>
      <c r="H210" s="217" t="s">
        <v>21</v>
      </c>
      <c r="I210" s="350" t="s">
        <v>22</v>
      </c>
      <c r="J210" s="189"/>
      <c r="K210" s="84"/>
      <c r="L210" s="76"/>
      <c r="M210" s="438"/>
      <c r="N210" s="358"/>
      <c r="O210" s="358"/>
      <c r="P210" s="358"/>
      <c r="Q210" s="358"/>
      <c r="R210" s="358"/>
      <c r="S210" s="195" t="s">
        <v>64</v>
      </c>
      <c r="T210" s="196"/>
      <c r="U210" s="220" t="s">
        <v>1173</v>
      </c>
      <c r="V210" s="59"/>
      <c r="W210" s="243"/>
    </row>
    <row r="211" spans="1:23" ht="56">
      <c r="A211" s="216" t="s">
        <v>1174</v>
      </c>
      <c r="B211" s="217"/>
      <c r="C211" s="37" t="s">
        <v>16</v>
      </c>
      <c r="D211" s="187" t="s">
        <v>1175</v>
      </c>
      <c r="E211" s="298"/>
      <c r="F211" s="298" t="s">
        <v>1176</v>
      </c>
      <c r="G211" s="298" t="s">
        <v>1177</v>
      </c>
      <c r="H211" s="217" t="s">
        <v>21</v>
      </c>
      <c r="I211" s="350" t="s">
        <v>22</v>
      </c>
      <c r="J211" s="189"/>
      <c r="K211" s="84"/>
      <c r="L211" s="198"/>
      <c r="M211" s="76"/>
      <c r="N211" s="76"/>
      <c r="O211" s="76"/>
      <c r="P211" s="76"/>
      <c r="Q211" s="76"/>
      <c r="R211" s="76"/>
      <c r="S211" s="530" t="s">
        <v>23</v>
      </c>
      <c r="T211" s="531"/>
      <c r="U211" s="532" t="s">
        <v>1178</v>
      </c>
      <c r="V211" s="37"/>
      <c r="W211" s="243"/>
    </row>
    <row r="212" spans="1:23" ht="140">
      <c r="A212" s="59" t="s">
        <v>1179</v>
      </c>
      <c r="B212" s="188"/>
      <c r="C212" s="37" t="s">
        <v>16</v>
      </c>
      <c r="D212" s="188" t="s">
        <v>1180</v>
      </c>
      <c r="E212" s="344" t="s">
        <v>763</v>
      </c>
      <c r="F212" s="188" t="s">
        <v>1181</v>
      </c>
      <c r="G212" s="188"/>
      <c r="H212" s="217" t="s">
        <v>21</v>
      </c>
      <c r="I212" s="212" t="s">
        <v>22</v>
      </c>
      <c r="J212" s="189"/>
      <c r="K212" s="84"/>
      <c r="L212" s="198"/>
      <c r="M212" s="76"/>
      <c r="N212" s="76"/>
      <c r="O212" s="76" t="s">
        <v>23</v>
      </c>
      <c r="P212" s="76"/>
      <c r="Q212" s="76"/>
      <c r="R212" s="76"/>
      <c r="S212" s="365"/>
      <c r="T212" s="533"/>
      <c r="U212" s="534" t="s">
        <v>1182</v>
      </c>
      <c r="V212" s="77" t="s">
        <v>1183</v>
      </c>
      <c r="W212" s="243"/>
    </row>
    <row r="213" spans="1:23" ht="98">
      <c r="A213" s="188" t="s">
        <v>1184</v>
      </c>
      <c r="B213" s="188"/>
      <c r="C213" s="37" t="s">
        <v>16</v>
      </c>
      <c r="D213" s="188" t="s">
        <v>1185</v>
      </c>
      <c r="E213" s="344" t="s">
        <v>763</v>
      </c>
      <c r="F213" s="188" t="s">
        <v>1186</v>
      </c>
      <c r="G213" s="188"/>
      <c r="H213" s="217" t="s">
        <v>21</v>
      </c>
      <c r="I213" s="212" t="s">
        <v>22</v>
      </c>
      <c r="J213" s="189"/>
      <c r="K213" s="84"/>
      <c r="L213" s="198"/>
      <c r="M213" s="76"/>
      <c r="N213" s="76"/>
      <c r="O213" s="76" t="s">
        <v>23</v>
      </c>
      <c r="P213" s="76"/>
      <c r="Q213" s="76"/>
      <c r="R213" s="76"/>
      <c r="S213" s="365"/>
      <c r="T213" s="535"/>
      <c r="U213" s="536" t="s">
        <v>1187</v>
      </c>
      <c r="V213" s="37"/>
      <c r="W213" s="243"/>
    </row>
    <row r="214" spans="1:23" ht="165">
      <c r="A214" s="188" t="s">
        <v>1188</v>
      </c>
      <c r="B214" s="188"/>
      <c r="C214" s="37" t="s">
        <v>16</v>
      </c>
      <c r="D214" s="188" t="s">
        <v>1189</v>
      </c>
      <c r="E214" s="344" t="s">
        <v>763</v>
      </c>
      <c r="F214" s="537" t="s">
        <v>1190</v>
      </c>
      <c r="G214" s="188"/>
      <c r="H214" s="217" t="s">
        <v>21</v>
      </c>
      <c r="I214" s="212" t="s">
        <v>22</v>
      </c>
      <c r="J214" s="189"/>
      <c r="K214" s="84"/>
      <c r="L214" s="198"/>
      <c r="M214" s="76"/>
      <c r="N214" s="76"/>
      <c r="O214" s="76" t="s">
        <v>23</v>
      </c>
      <c r="P214" s="76"/>
      <c r="Q214" s="76"/>
      <c r="R214" s="76"/>
      <c r="S214" s="365"/>
      <c r="T214" s="535"/>
      <c r="U214" s="536"/>
      <c r="V214" s="59" t="s">
        <v>1183</v>
      </c>
      <c r="W214" s="243"/>
    </row>
    <row r="215" spans="1:23" ht="84">
      <c r="A215" s="188" t="s">
        <v>1191</v>
      </c>
      <c r="B215" s="188"/>
      <c r="C215" s="37" t="s">
        <v>16</v>
      </c>
      <c r="D215" s="188" t="s">
        <v>1192</v>
      </c>
      <c r="E215" s="37"/>
      <c r="F215" s="188" t="s">
        <v>1193</v>
      </c>
      <c r="G215" s="188"/>
      <c r="H215" s="217" t="s">
        <v>21</v>
      </c>
      <c r="I215" s="212" t="s">
        <v>22</v>
      </c>
      <c r="J215" s="189"/>
      <c r="K215" s="84"/>
      <c r="L215" s="198"/>
      <c r="M215" s="76"/>
      <c r="N215" s="76"/>
      <c r="O215" s="76"/>
      <c r="P215" s="76"/>
      <c r="Q215" s="76"/>
      <c r="R215" s="76"/>
      <c r="S215" s="365" t="s">
        <v>64</v>
      </c>
      <c r="T215" s="366"/>
      <c r="U215" s="528"/>
      <c r="V215" s="37"/>
      <c r="W215" s="243"/>
    </row>
    <row r="216" spans="1:23" ht="84">
      <c r="A216" s="188" t="s">
        <v>1194</v>
      </c>
      <c r="B216" s="188"/>
      <c r="C216" s="37" t="s">
        <v>16</v>
      </c>
      <c r="D216" s="188" t="s">
        <v>1195</v>
      </c>
      <c r="E216" s="37"/>
      <c r="F216" s="188" t="s">
        <v>1196</v>
      </c>
      <c r="G216" s="188"/>
      <c r="H216" s="217" t="s">
        <v>21</v>
      </c>
      <c r="I216" s="212" t="s">
        <v>22</v>
      </c>
      <c r="J216" s="189"/>
      <c r="K216" s="84"/>
      <c r="L216" s="198"/>
      <c r="M216" s="76"/>
      <c r="N216" s="76"/>
      <c r="O216" s="76"/>
      <c r="P216" s="76"/>
      <c r="Q216" s="76"/>
      <c r="R216" s="76"/>
      <c r="S216" s="365" t="s">
        <v>64</v>
      </c>
      <c r="T216" s="366"/>
      <c r="U216" s="528"/>
      <c r="V216" s="37"/>
      <c r="W216" s="243"/>
    </row>
    <row r="217" spans="1:23" ht="84">
      <c r="A217" s="188" t="s">
        <v>1197</v>
      </c>
      <c r="B217" s="188"/>
      <c r="C217" s="37" t="s">
        <v>16</v>
      </c>
      <c r="D217" s="188" t="s">
        <v>1198</v>
      </c>
      <c r="E217" s="37"/>
      <c r="F217" s="59" t="s">
        <v>1199</v>
      </c>
      <c r="G217" s="188" t="s">
        <v>1200</v>
      </c>
      <c r="H217" s="217" t="s">
        <v>21</v>
      </c>
      <c r="I217" s="212" t="s">
        <v>22</v>
      </c>
      <c r="J217" s="37"/>
      <c r="K217" s="84"/>
      <c r="L217" s="198"/>
      <c r="M217" s="76" t="s">
        <v>64</v>
      </c>
      <c r="N217" s="37"/>
      <c r="O217" s="76" t="s">
        <v>23</v>
      </c>
      <c r="P217" s="76"/>
      <c r="Q217" s="76"/>
      <c r="R217" s="76"/>
      <c r="S217" s="365"/>
      <c r="T217" s="366"/>
      <c r="U217" s="528"/>
      <c r="V217" s="37" t="s">
        <v>1201</v>
      </c>
      <c r="W217" s="243"/>
    </row>
    <row r="218" spans="1:23" ht="70">
      <c r="A218" s="188" t="s">
        <v>1202</v>
      </c>
      <c r="B218" s="188"/>
      <c r="C218" s="37" t="s">
        <v>16</v>
      </c>
      <c r="D218" s="188" t="s">
        <v>1203</v>
      </c>
      <c r="E218" s="37"/>
      <c r="F218" s="188" t="s">
        <v>1204</v>
      </c>
      <c r="G218" s="188" t="s">
        <v>1205</v>
      </c>
      <c r="H218" s="217" t="s">
        <v>21</v>
      </c>
      <c r="I218" s="212" t="s">
        <v>22</v>
      </c>
      <c r="J218" s="189"/>
      <c r="K218" s="84"/>
      <c r="L218" s="198"/>
      <c r="M218" s="76"/>
      <c r="N218" s="76"/>
      <c r="O218" s="76" t="s">
        <v>23</v>
      </c>
      <c r="P218" s="76"/>
      <c r="Q218" s="76"/>
      <c r="R218" s="76"/>
      <c r="S218" s="365"/>
      <c r="T218" s="366"/>
      <c r="U218" s="528"/>
      <c r="V218" s="37"/>
      <c r="W218" s="243"/>
    </row>
    <row r="219" spans="1:23" ht="70">
      <c r="A219" s="188" t="s">
        <v>1206</v>
      </c>
      <c r="B219" s="188"/>
      <c r="C219" s="37" t="s">
        <v>16</v>
      </c>
      <c r="D219" s="188" t="s">
        <v>1207</v>
      </c>
      <c r="E219" s="37"/>
      <c r="F219" s="188" t="s">
        <v>1208</v>
      </c>
      <c r="G219" s="188" t="s">
        <v>1209</v>
      </c>
      <c r="H219" s="217" t="s">
        <v>21</v>
      </c>
      <c r="I219" s="212" t="s">
        <v>22</v>
      </c>
      <c r="J219" s="189"/>
      <c r="K219" s="84"/>
      <c r="L219" s="198"/>
      <c r="M219" s="76"/>
      <c r="N219" s="76"/>
      <c r="O219" s="76" t="s">
        <v>23</v>
      </c>
      <c r="P219" s="76"/>
      <c r="Q219" s="76"/>
      <c r="R219" s="76"/>
      <c r="S219" s="538"/>
      <c r="T219" s="470"/>
      <c r="V219" s="37" t="s">
        <v>1210</v>
      </c>
      <c r="W219" s="243"/>
    </row>
    <row r="220" spans="1:23" ht="56">
      <c r="A220" s="188" t="s">
        <v>1211</v>
      </c>
      <c r="B220" s="188"/>
      <c r="C220" s="37" t="s">
        <v>16</v>
      </c>
      <c r="D220" s="188" t="s">
        <v>1212</v>
      </c>
      <c r="E220" s="37"/>
      <c r="F220" s="188" t="s">
        <v>1213</v>
      </c>
      <c r="G220" s="188" t="s">
        <v>1214</v>
      </c>
      <c r="H220" s="217" t="s">
        <v>21</v>
      </c>
      <c r="I220" s="212" t="s">
        <v>22</v>
      </c>
      <c r="J220" s="189"/>
      <c r="K220" s="84"/>
      <c r="L220" s="198"/>
      <c r="M220" s="76"/>
      <c r="N220" s="76"/>
      <c r="O220" s="76" t="s">
        <v>23</v>
      </c>
      <c r="P220" s="76"/>
      <c r="Q220" s="76"/>
      <c r="R220" s="76"/>
      <c r="S220" s="365"/>
      <c r="T220" s="366"/>
      <c r="U220" s="528"/>
      <c r="V220" s="37"/>
      <c r="W220" s="539" t="s">
        <v>1215</v>
      </c>
    </row>
    <row r="221" spans="1:23" ht="28">
      <c r="A221" s="188" t="s">
        <v>1216</v>
      </c>
      <c r="B221" s="188"/>
      <c r="C221" s="37" t="s">
        <v>16</v>
      </c>
      <c r="D221" s="188" t="s">
        <v>1217</v>
      </c>
      <c r="E221" s="37"/>
      <c r="F221" s="188" t="s">
        <v>1218</v>
      </c>
      <c r="G221" s="188" t="s">
        <v>1219</v>
      </c>
      <c r="H221" s="217" t="s">
        <v>21</v>
      </c>
      <c r="I221" s="212" t="s">
        <v>22</v>
      </c>
      <c r="J221" s="189"/>
      <c r="K221" s="84"/>
      <c r="L221" s="198"/>
      <c r="M221" s="76"/>
      <c r="N221" s="76"/>
      <c r="O221" s="76" t="s">
        <v>23</v>
      </c>
      <c r="P221" s="76"/>
      <c r="Q221" s="76"/>
      <c r="R221" s="76"/>
      <c r="S221" s="365"/>
      <c r="T221" s="366"/>
      <c r="U221" s="528"/>
      <c r="V221" s="37"/>
      <c r="W221" s="243"/>
    </row>
    <row r="222" spans="1:23" ht="28">
      <c r="A222" s="188" t="s">
        <v>1220</v>
      </c>
      <c r="B222" s="188"/>
      <c r="C222" s="37" t="s">
        <v>16</v>
      </c>
      <c r="D222" s="188" t="s">
        <v>1221</v>
      </c>
      <c r="E222" s="37"/>
      <c r="F222" s="188" t="s">
        <v>1222</v>
      </c>
      <c r="G222" s="188" t="s">
        <v>1223</v>
      </c>
      <c r="H222" s="217" t="s">
        <v>21</v>
      </c>
      <c r="I222" s="212" t="s">
        <v>22</v>
      </c>
      <c r="J222" s="189"/>
      <c r="K222" s="84"/>
      <c r="L222" s="198"/>
      <c r="M222" s="76"/>
      <c r="N222" s="76"/>
      <c r="O222" s="76" t="s">
        <v>23</v>
      </c>
      <c r="P222" s="76"/>
      <c r="Q222" s="76"/>
      <c r="R222" s="76"/>
      <c r="S222" s="365"/>
      <c r="T222" s="366"/>
      <c r="U222" s="528"/>
      <c r="V222" s="37"/>
      <c r="W222" s="243"/>
    </row>
    <row r="223" spans="1:23" ht="70">
      <c r="A223" s="188" t="s">
        <v>1224</v>
      </c>
      <c r="B223" s="188"/>
      <c r="C223" s="37" t="s">
        <v>16</v>
      </c>
      <c r="D223" s="188" t="s">
        <v>1225</v>
      </c>
      <c r="E223" s="37"/>
      <c r="F223" s="188" t="s">
        <v>1226</v>
      </c>
      <c r="G223" s="188" t="s">
        <v>1227</v>
      </c>
      <c r="H223" s="217" t="s">
        <v>21</v>
      </c>
      <c r="I223" s="212" t="s">
        <v>22</v>
      </c>
      <c r="J223" s="189"/>
      <c r="K223" s="84"/>
      <c r="L223" s="198"/>
      <c r="M223" s="76"/>
      <c r="N223" s="76"/>
      <c r="O223" s="76" t="s">
        <v>23</v>
      </c>
      <c r="P223" s="76"/>
      <c r="Q223" s="76"/>
      <c r="R223" s="76"/>
      <c r="S223" s="365"/>
      <c r="T223" s="366"/>
      <c r="U223" s="528"/>
      <c r="V223" s="37"/>
      <c r="W223" s="243"/>
    </row>
    <row r="224" spans="1:23" ht="28">
      <c r="A224" s="188" t="s">
        <v>1228</v>
      </c>
      <c r="B224" s="188"/>
      <c r="C224" s="100" t="s">
        <v>16</v>
      </c>
      <c r="D224" s="188" t="s">
        <v>1229</v>
      </c>
      <c r="E224" s="37"/>
      <c r="F224" s="188" t="s">
        <v>1230</v>
      </c>
      <c r="G224" s="188" t="s">
        <v>1231</v>
      </c>
      <c r="H224" s="217" t="s">
        <v>21</v>
      </c>
      <c r="I224" s="212" t="s">
        <v>22</v>
      </c>
      <c r="J224" s="189"/>
      <c r="K224" s="84"/>
      <c r="L224" s="198"/>
      <c r="M224" s="76"/>
      <c r="N224" s="76"/>
      <c r="O224" s="76" t="s">
        <v>23</v>
      </c>
      <c r="P224" s="76"/>
      <c r="Q224" s="76"/>
      <c r="R224" s="76"/>
      <c r="S224" s="365"/>
      <c r="T224" s="366"/>
      <c r="U224" s="528"/>
      <c r="V224" s="37"/>
      <c r="W224" s="243"/>
    </row>
    <row r="225" spans="1:23" ht="84">
      <c r="A225" s="100" t="s">
        <v>1232</v>
      </c>
      <c r="B225" s="100"/>
      <c r="C225" s="100" t="s">
        <v>16</v>
      </c>
      <c r="D225" s="100" t="s">
        <v>1233</v>
      </c>
      <c r="E225" s="37"/>
      <c r="F225" s="59" t="s">
        <v>1199</v>
      </c>
      <c r="G225" s="188" t="s">
        <v>1200</v>
      </c>
      <c r="H225" s="37" t="s">
        <v>21</v>
      </c>
      <c r="I225" s="540" t="s">
        <v>22</v>
      </c>
      <c r="J225" s="76"/>
      <c r="K225" s="76"/>
      <c r="L225" s="198"/>
      <c r="M225" s="76"/>
      <c r="N225" s="76"/>
      <c r="O225" s="76" t="s">
        <v>23</v>
      </c>
      <c r="P225" s="76"/>
      <c r="Q225" s="76"/>
      <c r="R225" s="76"/>
      <c r="S225" s="365"/>
      <c r="T225" s="366"/>
      <c r="U225" s="541"/>
      <c r="V225" s="37"/>
    </row>
    <row r="226" spans="1:23" ht="70">
      <c r="A226" s="100" t="s">
        <v>1234</v>
      </c>
      <c r="B226" s="100"/>
      <c r="C226" s="100" t="s">
        <v>16</v>
      </c>
      <c r="D226" s="100" t="s">
        <v>1235</v>
      </c>
      <c r="E226" s="37"/>
      <c r="F226" s="188" t="s">
        <v>1204</v>
      </c>
      <c r="G226" s="188" t="s">
        <v>1205</v>
      </c>
      <c r="H226" s="37" t="s">
        <v>21</v>
      </c>
      <c r="I226" s="540" t="s">
        <v>22</v>
      </c>
      <c r="J226" s="76"/>
      <c r="K226" s="76"/>
      <c r="L226" s="198"/>
      <c r="M226" s="76"/>
      <c r="N226" s="76"/>
      <c r="O226" s="76" t="s">
        <v>23</v>
      </c>
      <c r="P226" s="76"/>
      <c r="Q226" s="76"/>
      <c r="R226" s="76"/>
      <c r="S226" s="365"/>
      <c r="T226" s="366"/>
      <c r="U226" s="541"/>
      <c r="V226" s="37"/>
    </row>
    <row r="227" spans="1:23" ht="72.75" customHeight="1">
      <c r="A227" s="100" t="s">
        <v>1236</v>
      </c>
      <c r="B227" s="100"/>
      <c r="C227" s="100" t="s">
        <v>16</v>
      </c>
      <c r="D227" s="100" t="s">
        <v>1237</v>
      </c>
      <c r="E227" s="37"/>
      <c r="F227" s="59" t="s">
        <v>1199</v>
      </c>
      <c r="G227" s="188" t="s">
        <v>1200</v>
      </c>
      <c r="H227" s="37" t="s">
        <v>21</v>
      </c>
      <c r="I227" s="540" t="s">
        <v>22</v>
      </c>
      <c r="J227" s="76"/>
      <c r="K227" s="76"/>
      <c r="L227" s="198"/>
      <c r="M227" s="76"/>
      <c r="N227" s="76"/>
      <c r="O227" s="76" t="s">
        <v>23</v>
      </c>
      <c r="P227" s="438"/>
      <c r="Q227" s="438"/>
      <c r="R227" s="438"/>
      <c r="S227" s="530"/>
      <c r="T227" s="542"/>
      <c r="U227" s="543"/>
      <c r="V227" s="37"/>
    </row>
    <row r="228" spans="1:23" ht="70">
      <c r="A228" s="100" t="s">
        <v>1238</v>
      </c>
      <c r="B228" s="100"/>
      <c r="C228" s="37" t="s">
        <v>16</v>
      </c>
      <c r="D228" s="100" t="s">
        <v>1239</v>
      </c>
      <c r="E228" s="37"/>
      <c r="F228" s="188" t="s">
        <v>1204</v>
      </c>
      <c r="G228" s="188" t="s">
        <v>1205</v>
      </c>
      <c r="H228" s="37" t="s">
        <v>21</v>
      </c>
      <c r="I228" s="540" t="s">
        <v>22</v>
      </c>
      <c r="J228" s="76"/>
      <c r="K228" s="76"/>
      <c r="L228" s="76"/>
      <c r="M228" s="544"/>
      <c r="N228" s="545"/>
      <c r="O228" s="546" t="s">
        <v>23</v>
      </c>
      <c r="P228" s="76"/>
      <c r="Q228" s="76"/>
      <c r="R228" s="76"/>
      <c r="S228" s="397"/>
      <c r="T228" s="230"/>
      <c r="U228" s="37"/>
      <c r="V228" s="37"/>
    </row>
    <row r="229" spans="1:23" ht="28">
      <c r="A229" s="547" t="s">
        <v>1240</v>
      </c>
      <c r="B229" s="548"/>
      <c r="C229" s="75" t="s">
        <v>16</v>
      </c>
      <c r="D229" s="547" t="s">
        <v>1241</v>
      </c>
      <c r="E229" s="456"/>
      <c r="F229" s="547" t="s">
        <v>1242</v>
      </c>
      <c r="G229" s="547" t="s">
        <v>1243</v>
      </c>
      <c r="H229" s="456" t="s">
        <v>21</v>
      </c>
      <c r="I229" s="549" t="s">
        <v>22</v>
      </c>
      <c r="J229" s="189"/>
      <c r="K229" s="269"/>
      <c r="L229" s="269"/>
      <c r="M229" s="270"/>
      <c r="N229" s="270"/>
      <c r="O229" s="270"/>
      <c r="P229" s="550"/>
      <c r="Q229" s="550"/>
      <c r="R229" s="550"/>
      <c r="S229" s="206" t="s">
        <v>23</v>
      </c>
      <c r="T229" s="207"/>
      <c r="U229" s="464"/>
      <c r="V229" s="432"/>
      <c r="W229" s="359"/>
    </row>
    <row r="230" spans="1:23" ht="84">
      <c r="A230" s="547" t="s">
        <v>1244</v>
      </c>
      <c r="B230" s="548"/>
      <c r="C230" s="75" t="s">
        <v>16</v>
      </c>
      <c r="D230" s="485" t="s">
        <v>1245</v>
      </c>
      <c r="E230" s="551"/>
      <c r="F230" s="485" t="s">
        <v>1246</v>
      </c>
      <c r="G230" s="485" t="s">
        <v>1247</v>
      </c>
      <c r="H230" s="456" t="s">
        <v>21</v>
      </c>
      <c r="I230" s="549" t="s">
        <v>22</v>
      </c>
      <c r="J230" s="189"/>
      <c r="K230" s="269"/>
      <c r="L230" s="269"/>
      <c r="M230" s="552"/>
      <c r="N230" s="552"/>
      <c r="O230" s="552"/>
      <c r="P230" s="552"/>
      <c r="Q230" s="552"/>
      <c r="R230" s="552"/>
      <c r="S230" s="206" t="s">
        <v>23</v>
      </c>
      <c r="T230" s="207"/>
      <c r="U230" s="457"/>
      <c r="V230" s="263"/>
      <c r="W230" s="359"/>
    </row>
    <row r="231" spans="1:23" ht="84">
      <c r="A231" s="547" t="s">
        <v>1248</v>
      </c>
      <c r="B231" s="548"/>
      <c r="C231" s="75" t="s">
        <v>16</v>
      </c>
      <c r="D231" s="485" t="s">
        <v>1249</v>
      </c>
      <c r="E231" s="551"/>
      <c r="F231" s="485" t="s">
        <v>1250</v>
      </c>
      <c r="G231" s="485" t="s">
        <v>1247</v>
      </c>
      <c r="H231" s="456" t="s">
        <v>21</v>
      </c>
      <c r="I231" s="549" t="s">
        <v>22</v>
      </c>
      <c r="J231" s="189"/>
      <c r="K231" s="269"/>
      <c r="L231" s="269"/>
      <c r="M231" s="270"/>
      <c r="N231" s="270"/>
      <c r="O231" s="270"/>
      <c r="P231" s="270"/>
      <c r="Q231" s="270"/>
      <c r="R231" s="270"/>
      <c r="S231" s="176" t="s">
        <v>23</v>
      </c>
      <c r="T231" s="177"/>
      <c r="U231" s="553"/>
      <c r="V231" s="263"/>
      <c r="W231" s="359"/>
    </row>
    <row r="232" spans="1:23" ht="84">
      <c r="A232" s="547" t="s">
        <v>1251</v>
      </c>
      <c r="B232" s="548"/>
      <c r="C232" s="75" t="s">
        <v>16</v>
      </c>
      <c r="D232" s="485" t="s">
        <v>1252</v>
      </c>
      <c r="E232" s="551"/>
      <c r="F232" s="485" t="s">
        <v>1253</v>
      </c>
      <c r="G232" s="485" t="s">
        <v>1247</v>
      </c>
      <c r="H232" s="456" t="s">
        <v>21</v>
      </c>
      <c r="I232" s="549" t="s">
        <v>22</v>
      </c>
      <c r="J232" s="189"/>
      <c r="K232" s="269"/>
      <c r="L232" s="269"/>
      <c r="M232" s="270"/>
      <c r="N232" s="270"/>
      <c r="O232" s="270"/>
      <c r="P232" s="270"/>
      <c r="Q232" s="270"/>
      <c r="R232" s="270"/>
      <c r="S232" s="176" t="s">
        <v>23</v>
      </c>
      <c r="T232" s="177"/>
      <c r="U232" s="553"/>
      <c r="V232" s="263"/>
      <c r="W232" s="359"/>
    </row>
    <row r="233" spans="1:23" ht="168">
      <c r="A233" s="547" t="s">
        <v>1254</v>
      </c>
      <c r="B233" s="548"/>
      <c r="C233" s="75" t="s">
        <v>16</v>
      </c>
      <c r="D233" s="485" t="s">
        <v>1255</v>
      </c>
      <c r="E233" s="551"/>
      <c r="F233" s="485" t="s">
        <v>1256</v>
      </c>
      <c r="G233" s="485" t="s">
        <v>1257</v>
      </c>
      <c r="H233" s="456" t="s">
        <v>21</v>
      </c>
      <c r="I233" s="549" t="s">
        <v>22</v>
      </c>
      <c r="J233" s="189"/>
      <c r="K233" s="269"/>
      <c r="L233" s="269"/>
      <c r="M233" s="552"/>
      <c r="N233" s="552"/>
      <c r="O233" s="552"/>
      <c r="P233" s="552"/>
      <c r="Q233" s="552"/>
      <c r="R233" s="552"/>
      <c r="S233" s="206" t="s">
        <v>23</v>
      </c>
      <c r="T233" s="207"/>
      <c r="U233" s="464"/>
      <c r="V233" s="432"/>
      <c r="W233" s="359"/>
    </row>
    <row r="234" spans="1:23" ht="403" customHeight="1">
      <c r="A234" s="547" t="s">
        <v>1258</v>
      </c>
      <c r="B234" s="548"/>
      <c r="C234" s="75" t="s">
        <v>16</v>
      </c>
      <c r="D234" s="485" t="s">
        <v>1259</v>
      </c>
      <c r="E234" s="551"/>
      <c r="F234" s="554" t="s">
        <v>1260</v>
      </c>
      <c r="G234" s="485" t="s">
        <v>1257</v>
      </c>
      <c r="H234" s="456" t="s">
        <v>21</v>
      </c>
      <c r="I234" s="549" t="s">
        <v>22</v>
      </c>
      <c r="J234" s="189"/>
      <c r="K234" s="269"/>
      <c r="L234" s="269"/>
      <c r="M234" s="270"/>
      <c r="N234" s="270"/>
      <c r="O234" s="270"/>
      <c r="P234" s="270"/>
      <c r="Q234" s="270"/>
      <c r="R234" s="270"/>
      <c r="S234" s="176" t="s">
        <v>23</v>
      </c>
      <c r="T234" s="177"/>
      <c r="U234" s="553"/>
      <c r="V234" s="263"/>
      <c r="W234" s="555"/>
    </row>
    <row r="235" spans="1:23" ht="42">
      <c r="A235" s="547" t="s">
        <v>1261</v>
      </c>
      <c r="B235" s="548"/>
      <c r="C235" s="75" t="s">
        <v>16</v>
      </c>
      <c r="D235" s="485" t="s">
        <v>1262</v>
      </c>
      <c r="E235" s="551"/>
      <c r="F235" s="547" t="s">
        <v>1242</v>
      </c>
      <c r="G235" s="460"/>
      <c r="H235" s="456" t="s">
        <v>21</v>
      </c>
      <c r="I235" s="549" t="s">
        <v>22</v>
      </c>
      <c r="J235" s="189"/>
      <c r="K235" s="269"/>
      <c r="L235" s="269"/>
      <c r="M235" s="270"/>
      <c r="N235" s="270"/>
      <c r="O235" s="270"/>
      <c r="P235" s="270"/>
      <c r="Q235" s="270"/>
      <c r="R235" s="270"/>
      <c r="S235" s="176" t="s">
        <v>23</v>
      </c>
      <c r="T235" s="177"/>
      <c r="U235" s="553"/>
      <c r="V235" s="263"/>
      <c r="W235" s="359"/>
    </row>
    <row r="236" spans="1:23" ht="168">
      <c r="A236" s="547" t="s">
        <v>1263</v>
      </c>
      <c r="B236" s="548"/>
      <c r="C236" s="75" t="s">
        <v>16</v>
      </c>
      <c r="D236" s="485" t="s">
        <v>1264</v>
      </c>
      <c r="E236" s="551"/>
      <c r="F236" s="485" t="s">
        <v>1265</v>
      </c>
      <c r="G236" s="485" t="s">
        <v>1266</v>
      </c>
      <c r="H236" s="456" t="s">
        <v>21</v>
      </c>
      <c r="I236" s="549" t="s">
        <v>22</v>
      </c>
      <c r="J236" s="189"/>
      <c r="K236" s="269"/>
      <c r="L236" s="269"/>
      <c r="M236" s="270"/>
      <c r="N236" s="270"/>
      <c r="O236" s="270"/>
      <c r="P236" s="270"/>
      <c r="Q236" s="270"/>
      <c r="R236" s="270"/>
      <c r="S236" s="176" t="s">
        <v>23</v>
      </c>
      <c r="T236" s="177"/>
      <c r="U236" s="553"/>
      <c r="V236" s="263"/>
      <c r="W236" s="359"/>
    </row>
    <row r="237" spans="1:23" ht="266">
      <c r="A237" s="547" t="s">
        <v>1267</v>
      </c>
      <c r="B237" s="548"/>
      <c r="C237" s="75" t="s">
        <v>16</v>
      </c>
      <c r="D237" s="485" t="s">
        <v>1268</v>
      </c>
      <c r="E237" s="551"/>
      <c r="F237" s="556" t="s">
        <v>1269</v>
      </c>
      <c r="G237" s="460"/>
      <c r="H237" s="456" t="s">
        <v>21</v>
      </c>
      <c r="I237" s="549" t="s">
        <v>22</v>
      </c>
      <c r="J237" s="189"/>
      <c r="K237" s="269"/>
      <c r="L237" s="269"/>
      <c r="M237" s="270"/>
      <c r="N237" s="270"/>
      <c r="O237" s="270"/>
      <c r="P237" s="270"/>
      <c r="Q237" s="270"/>
      <c r="R237" s="270"/>
      <c r="S237" s="176" t="s">
        <v>23</v>
      </c>
      <c r="T237" s="177"/>
      <c r="U237" s="553"/>
      <c r="V237" s="263"/>
      <c r="W237" s="359"/>
    </row>
    <row r="238" spans="1:23" ht="98">
      <c r="A238" s="547" t="s">
        <v>1270</v>
      </c>
      <c r="B238" s="557"/>
      <c r="C238" s="75" t="s">
        <v>16</v>
      </c>
      <c r="D238" s="558" t="s">
        <v>1271</v>
      </c>
      <c r="E238" s="551"/>
      <c r="F238" s="559" t="s">
        <v>1272</v>
      </c>
      <c r="G238" s="560"/>
      <c r="H238" s="456" t="s">
        <v>21</v>
      </c>
      <c r="I238" s="549" t="s">
        <v>22</v>
      </c>
      <c r="J238" s="189"/>
      <c r="K238" s="269"/>
      <c r="L238" s="269"/>
      <c r="M238" s="561"/>
      <c r="N238" s="561"/>
      <c r="O238" s="561"/>
      <c r="P238" s="561"/>
      <c r="Q238" s="561"/>
      <c r="R238" s="561"/>
      <c r="S238" s="195" t="s">
        <v>23</v>
      </c>
      <c r="T238" s="196"/>
      <c r="U238" s="562"/>
      <c r="V238" s="432"/>
      <c r="W238" s="359"/>
    </row>
    <row r="239" spans="1:23" ht="42">
      <c r="A239" s="547" t="s">
        <v>1273</v>
      </c>
      <c r="B239" s="456"/>
      <c r="C239" s="75" t="s">
        <v>16</v>
      </c>
      <c r="D239" s="547" t="s">
        <v>1274</v>
      </c>
      <c r="E239" s="551"/>
      <c r="F239" s="547" t="s">
        <v>1275</v>
      </c>
      <c r="G239" s="563" t="s">
        <v>1276</v>
      </c>
      <c r="H239" s="456" t="s">
        <v>21</v>
      </c>
      <c r="I239" s="549" t="s">
        <v>22</v>
      </c>
      <c r="J239" s="189"/>
      <c r="K239" s="269"/>
      <c r="L239" s="269"/>
      <c r="M239" s="270"/>
      <c r="N239" s="270"/>
      <c r="O239" s="270"/>
      <c r="P239" s="270"/>
      <c r="Q239" s="270"/>
      <c r="R239" s="270"/>
      <c r="S239" s="176" t="s">
        <v>64</v>
      </c>
      <c r="T239" s="211" t="s">
        <v>1277</v>
      </c>
      <c r="U239" s="564"/>
      <c r="V239" s="75"/>
      <c r="W239" s="359"/>
    </row>
    <row r="240" spans="1:23">
      <c r="A240" s="565"/>
      <c r="B240" s="65"/>
      <c r="C240" s="565"/>
      <c r="D240" s="565"/>
      <c r="E240" s="65"/>
      <c r="F240" s="565"/>
      <c r="G240" s="566"/>
      <c r="H240" s="65"/>
      <c r="I240" s="65"/>
      <c r="J240" s="567"/>
      <c r="K240" s="567"/>
      <c r="L240" s="567"/>
      <c r="M240" s="567"/>
      <c r="N240" s="567"/>
      <c r="O240" s="567"/>
      <c r="P240" s="567"/>
      <c r="Q240" s="567"/>
      <c r="R240" s="567"/>
      <c r="S240" s="567"/>
      <c r="T240" s="65"/>
      <c r="U240" s="65"/>
      <c r="V240" s="65"/>
      <c r="W240" s="568"/>
    </row>
  </sheetData>
  <mergeCells count="12">
    <mergeCell ref="B1:B2"/>
    <mergeCell ref="J1:M1"/>
    <mergeCell ref="A1:A2"/>
    <mergeCell ref="C1:C2"/>
    <mergeCell ref="D1:D2"/>
    <mergeCell ref="E1:E2"/>
    <mergeCell ref="F1:F2"/>
    <mergeCell ref="V1:V2"/>
    <mergeCell ref="U1:U2"/>
    <mergeCell ref="G1:G2"/>
    <mergeCell ref="H1:H2"/>
    <mergeCell ref="I1:I2"/>
  </mergeCells>
  <phoneticPr fontId="106" type="noConversion"/>
  <dataValidations count="4">
    <dataValidation type="list" allowBlank="1" showInputMessage="1" showErrorMessage="1" sqref="S1:S1048576 O3:R240 J1:N1048576" xr:uid="{00000000-0002-0000-0A00-000000000000}">
      <formula1>"NT,PASS,FAIL,BLOCK,"</formula1>
    </dataValidation>
    <dataValidation type="list" allowBlank="1" showInputMessage="1" showErrorMessage="1" sqref="I1:I1048576" xr:uid="{00000000-0002-0000-0A00-000002000000}">
      <formula1>"No,Yes,"</formula1>
    </dataValidation>
    <dataValidation type="list" allowBlank="1" showInputMessage="1" showErrorMessage="1" sqref="H1:H1048576" xr:uid="{00000000-0002-0000-0A00-000003000000}">
      <formula1>"P0,P1,P2,"</formula1>
    </dataValidation>
    <dataValidation type="list" allowBlank="1" showInputMessage="1" showErrorMessage="1" sqref="C3:C239" xr:uid="{00000000-0002-0000-0A00-000008000000}">
      <formula1>"Basicfunction,Cross-module,Pressure,Performance"</formula1>
    </dataValidation>
  </dataValidations>
  <hyperlinks>
    <hyperlink ref="V14" r:id="rId1" xr:uid="{00000000-0004-0000-0A00-000000000000}"/>
    <hyperlink ref="V15" r:id="rId2" xr:uid="{00000000-0004-0000-0A00-000001000000}"/>
    <hyperlink ref="V25" r:id="rId3" xr:uid="{00000000-0004-0000-0A00-000002000000}"/>
    <hyperlink ref="V26" r:id="rId4" xr:uid="{00000000-0004-0000-0A00-000003000000}"/>
    <hyperlink ref="V27" r:id="rId5" xr:uid="{00000000-0004-0000-0A00-000004000000}"/>
    <hyperlink ref="V29" r:id="rId6" xr:uid="{00000000-0004-0000-0A00-000005000000}"/>
    <hyperlink ref="V32" r:id="rId7" xr:uid="{00000000-0004-0000-0A00-000006000000}"/>
    <hyperlink ref="V33" r:id="rId8" xr:uid="{00000000-0004-0000-0A00-000007000000}"/>
    <hyperlink ref="V34" r:id="rId9" xr:uid="{00000000-0004-0000-0A00-000008000000}"/>
    <hyperlink ref="V35" r:id="rId10" xr:uid="{00000000-0004-0000-0A00-000009000000}"/>
    <hyperlink ref="V36" r:id="rId11" xr:uid="{00000000-0004-0000-0A00-00000A000000}"/>
    <hyperlink ref="V91" r:id="rId12" xr:uid="{00000000-0004-0000-0A00-00000B000000}"/>
    <hyperlink ref="T99" r:id="rId13" xr:uid="{00000000-0004-0000-0A00-00000C000000}"/>
    <hyperlink ref="T100" r:id="rId14" xr:uid="{00000000-0004-0000-0A00-00000D000000}"/>
    <hyperlink ref="V108" r:id="rId15" xr:uid="{00000000-0004-0000-0A00-00000E000000}"/>
    <hyperlink ref="V166" r:id="rId16" xr:uid="{00000000-0004-0000-0A00-00000F000000}"/>
    <hyperlink ref="V181" r:id="rId17" xr:uid="{00000000-0004-0000-0A00-000010000000}"/>
    <hyperlink ref="V184" r:id="rId18" xr:uid="{00000000-0004-0000-0A00-000011000000}"/>
    <hyperlink ref="V185" r:id="rId19" xr:uid="{00000000-0004-0000-0A00-000012000000}"/>
    <hyperlink ref="V189" r:id="rId20" xr:uid="{00000000-0004-0000-0A00-000013000000}"/>
    <hyperlink ref="V191" r:id="rId21" xr:uid="{00000000-0004-0000-0A00-000014000000}"/>
    <hyperlink ref="T198" r:id="rId22" xr:uid="{00000000-0004-0000-0A00-000015000000}"/>
    <hyperlink ref="T199" r:id="rId23" xr:uid="{00000000-0004-0000-0A00-000016000000}"/>
    <hyperlink ref="T201" r:id="rId24" xr:uid="{00000000-0004-0000-0A00-000017000000}"/>
    <hyperlink ref="T202" r:id="rId25" xr:uid="{00000000-0004-0000-0A00-000018000000}"/>
  </hyperlinks>
  <pageMargins left="0.7" right="0.7" top="0.75" bottom="0.75" header="0.3" footer="0.3"/>
  <drawing r:id="rId26"/>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PCISIG">
    <tabColor rgb="FFFFFFFF"/>
  </sheetPr>
  <dimension ref="A1:M42"/>
  <sheetViews>
    <sheetView workbookViewId="0">
      <pane ySplit="1" topLeftCell="A2" activePane="bottomLeft" state="frozen"/>
      <selection pane="bottomLeft"/>
    </sheetView>
  </sheetViews>
  <sheetFormatPr defaultRowHeight="14"/>
  <cols>
    <col min="1" max="1" width="27" style="35" customWidth="1"/>
    <col min="2" max="2" width="13.453125" style="35" customWidth="1"/>
    <col min="3" max="3" width="13.7265625" style="35" customWidth="1"/>
    <col min="4" max="4" width="26.81640625" style="35" customWidth="1"/>
    <col min="5" max="5" width="17.81640625" style="35" customWidth="1"/>
    <col min="6" max="6" width="17.54296875" style="35" customWidth="1"/>
    <col min="7" max="7" width="26.453125" style="35" customWidth="1"/>
    <col min="8" max="8" width="13.6328125" style="35" customWidth="1"/>
    <col min="9" max="9" width="13.7265625" style="35" customWidth="1"/>
    <col min="10" max="10" width="13.1796875" style="35" customWidth="1"/>
    <col min="11" max="13" width="27.08984375" style="35" customWidth="1"/>
  </cols>
  <sheetData>
    <row r="1" spans="1:13" ht="33" customHeight="1">
      <c r="A1" s="67" t="s">
        <v>0</v>
      </c>
      <c r="B1" s="67" t="s">
        <v>1</v>
      </c>
      <c r="C1" s="67" t="s">
        <v>2</v>
      </c>
      <c r="D1" s="68" t="s">
        <v>3</v>
      </c>
      <c r="E1" s="69" t="s">
        <v>4</v>
      </c>
      <c r="F1" s="69" t="s">
        <v>5</v>
      </c>
      <c r="G1" s="69" t="s">
        <v>6</v>
      </c>
      <c r="H1" s="69" t="s">
        <v>7</v>
      </c>
      <c r="I1" s="69" t="s">
        <v>8</v>
      </c>
      <c r="J1" s="2" t="s">
        <v>9</v>
      </c>
      <c r="K1" s="2" t="s">
        <v>179</v>
      </c>
      <c r="L1" s="70" t="s">
        <v>180</v>
      </c>
      <c r="M1" s="71" t="s">
        <v>10</v>
      </c>
    </row>
    <row r="2" spans="1:13" ht="28">
      <c r="A2" s="56" t="s">
        <v>181</v>
      </c>
      <c r="B2" s="72"/>
      <c r="C2" s="37" t="s">
        <v>16</v>
      </c>
      <c r="D2" s="73" t="s">
        <v>182</v>
      </c>
      <c r="E2" s="72"/>
      <c r="F2" s="72"/>
      <c r="G2" s="74" t="s">
        <v>183</v>
      </c>
      <c r="H2" s="75" t="s">
        <v>21</v>
      </c>
      <c r="I2" s="72"/>
      <c r="J2" s="76" t="s">
        <v>184</v>
      </c>
      <c r="K2" s="76" t="s">
        <v>23</v>
      </c>
      <c r="L2" s="76" t="s">
        <v>64</v>
      </c>
      <c r="M2" s="77" t="s">
        <v>185</v>
      </c>
    </row>
    <row r="3" spans="1:13" ht="28">
      <c r="A3" s="56" t="s">
        <v>186</v>
      </c>
      <c r="B3" s="37"/>
      <c r="C3" s="37" t="s">
        <v>16</v>
      </c>
      <c r="D3" s="73" t="s">
        <v>187</v>
      </c>
      <c r="E3" s="78"/>
      <c r="F3" s="78"/>
      <c r="G3" s="59" t="s">
        <v>183</v>
      </c>
      <c r="H3" s="75" t="s">
        <v>21</v>
      </c>
      <c r="I3" s="79"/>
      <c r="J3" s="76" t="s">
        <v>184</v>
      </c>
      <c r="K3" s="76" t="s">
        <v>23</v>
      </c>
      <c r="L3" s="76" t="s">
        <v>23</v>
      </c>
      <c r="M3" s="37"/>
    </row>
    <row r="4" spans="1:13" ht="28">
      <c r="A4" s="56" t="s">
        <v>188</v>
      </c>
      <c r="B4" s="80"/>
      <c r="C4" s="80" t="s">
        <v>16</v>
      </c>
      <c r="D4" s="81" t="s">
        <v>189</v>
      </c>
      <c r="E4" s="82"/>
      <c r="F4" s="82"/>
      <c r="G4" s="83" t="s">
        <v>183</v>
      </c>
      <c r="H4" s="75" t="s">
        <v>21</v>
      </c>
      <c r="I4" s="82"/>
      <c r="J4" s="84" t="s">
        <v>184</v>
      </c>
      <c r="K4" s="76" t="s">
        <v>23</v>
      </c>
      <c r="L4" s="76" t="s">
        <v>23</v>
      </c>
      <c r="M4" s="37"/>
    </row>
    <row r="5" spans="1:13" ht="28">
      <c r="A5" s="56" t="s">
        <v>190</v>
      </c>
      <c r="B5" s="85"/>
      <c r="C5" s="37" t="s">
        <v>16</v>
      </c>
      <c r="D5" s="73" t="s">
        <v>191</v>
      </c>
      <c r="E5" s="56"/>
      <c r="F5" s="56"/>
      <c r="G5" s="59" t="s">
        <v>183</v>
      </c>
      <c r="H5" s="75" t="s">
        <v>21</v>
      </c>
      <c r="I5" s="86"/>
      <c r="J5" s="84" t="s">
        <v>184</v>
      </c>
      <c r="K5" s="76" t="s">
        <v>23</v>
      </c>
      <c r="L5" s="76" t="s">
        <v>64</v>
      </c>
      <c r="M5" s="37"/>
    </row>
    <row r="6" spans="1:13" ht="28">
      <c r="A6" s="56" t="s">
        <v>192</v>
      </c>
      <c r="B6" s="87"/>
      <c r="C6" s="37" t="s">
        <v>16</v>
      </c>
      <c r="D6" s="73" t="s">
        <v>193</v>
      </c>
      <c r="E6" s="56"/>
      <c r="F6" s="56"/>
      <c r="G6" s="59" t="s">
        <v>183</v>
      </c>
      <c r="H6" s="75" t="s">
        <v>21</v>
      </c>
      <c r="I6" s="56"/>
      <c r="J6" s="76" t="s">
        <v>184</v>
      </c>
      <c r="K6" s="76" t="s">
        <v>23</v>
      </c>
      <c r="L6" s="76" t="s">
        <v>64</v>
      </c>
      <c r="M6" s="37"/>
    </row>
    <row r="7" spans="1:13" ht="27" customHeight="1">
      <c r="A7" s="56" t="s">
        <v>194</v>
      </c>
      <c r="B7" s="87"/>
      <c r="C7" s="37" t="s">
        <v>16</v>
      </c>
      <c r="D7" s="73" t="s">
        <v>195</v>
      </c>
      <c r="E7" s="56"/>
      <c r="F7" s="56"/>
      <c r="G7" s="59" t="s">
        <v>183</v>
      </c>
      <c r="H7" s="75" t="s">
        <v>21</v>
      </c>
      <c r="I7" s="56"/>
      <c r="J7" s="76" t="s">
        <v>184</v>
      </c>
      <c r="K7" s="76" t="s">
        <v>23</v>
      </c>
      <c r="L7" s="76" t="s">
        <v>23</v>
      </c>
      <c r="M7" s="37"/>
    </row>
    <row r="8" spans="1:13" ht="28">
      <c r="A8" s="56" t="s">
        <v>196</v>
      </c>
      <c r="B8" s="87"/>
      <c r="C8" s="37" t="s">
        <v>16</v>
      </c>
      <c r="D8" s="73" t="s">
        <v>197</v>
      </c>
      <c r="E8" s="56"/>
      <c r="F8" s="56"/>
      <c r="G8" s="59" t="s">
        <v>183</v>
      </c>
      <c r="H8" s="75" t="s">
        <v>21</v>
      </c>
      <c r="I8" s="56"/>
      <c r="J8" s="76" t="s">
        <v>184</v>
      </c>
      <c r="K8" s="76" t="s">
        <v>23</v>
      </c>
      <c r="L8" s="76" t="s">
        <v>23</v>
      </c>
      <c r="M8" s="37"/>
    </row>
    <row r="9" spans="1:13" ht="28">
      <c r="A9" s="56" t="s">
        <v>198</v>
      </c>
      <c r="B9" s="87"/>
      <c r="C9" s="37" t="s">
        <v>16</v>
      </c>
      <c r="D9" s="73" t="s">
        <v>199</v>
      </c>
      <c r="E9" s="56"/>
      <c r="F9" s="56"/>
      <c r="G9" s="74" t="s">
        <v>183</v>
      </c>
      <c r="H9" s="75" t="s">
        <v>21</v>
      </c>
      <c r="I9" s="56"/>
      <c r="J9" s="76" t="s">
        <v>184</v>
      </c>
      <c r="K9" s="76" t="s">
        <v>23</v>
      </c>
      <c r="L9" s="76" t="s">
        <v>23</v>
      </c>
      <c r="M9" s="37"/>
    </row>
    <row r="10" spans="1:13" ht="28">
      <c r="A10" s="56" t="s">
        <v>200</v>
      </c>
      <c r="B10" s="87"/>
      <c r="C10" s="37" t="s">
        <v>16</v>
      </c>
      <c r="D10" s="73" t="s">
        <v>201</v>
      </c>
      <c r="E10" s="56"/>
      <c r="F10" s="56"/>
      <c r="G10" s="74" t="s">
        <v>183</v>
      </c>
      <c r="H10" s="75" t="s">
        <v>21</v>
      </c>
      <c r="I10" s="88"/>
      <c r="J10" s="76" t="s">
        <v>184</v>
      </c>
      <c r="K10" s="76" t="s">
        <v>23</v>
      </c>
      <c r="L10" s="76" t="s">
        <v>64</v>
      </c>
      <c r="M10" s="37"/>
    </row>
    <row r="11" spans="1:13" ht="28">
      <c r="A11" s="56" t="s">
        <v>202</v>
      </c>
      <c r="B11" s="87"/>
      <c r="C11" s="37" t="s">
        <v>16</v>
      </c>
      <c r="D11" s="73" t="s">
        <v>203</v>
      </c>
      <c r="E11" s="56"/>
      <c r="F11" s="56"/>
      <c r="G11" s="74" t="s">
        <v>204</v>
      </c>
      <c r="H11" s="75" t="s">
        <v>21</v>
      </c>
      <c r="I11" s="56"/>
      <c r="J11" s="76" t="s">
        <v>184</v>
      </c>
      <c r="K11" s="76" t="s">
        <v>23</v>
      </c>
      <c r="L11" s="76" t="s">
        <v>23</v>
      </c>
      <c r="M11" s="37"/>
    </row>
    <row r="12" spans="1:13" ht="28">
      <c r="A12" s="56" t="s">
        <v>205</v>
      </c>
      <c r="B12" s="87"/>
      <c r="C12" s="37" t="s">
        <v>16</v>
      </c>
      <c r="D12" s="73" t="s">
        <v>206</v>
      </c>
      <c r="E12" s="56"/>
      <c r="F12" s="56"/>
      <c r="G12" s="74" t="s">
        <v>204</v>
      </c>
      <c r="H12" s="75" t="s">
        <v>21</v>
      </c>
      <c r="I12" s="89"/>
      <c r="J12" s="76" t="s">
        <v>184</v>
      </c>
      <c r="K12" s="76" t="s">
        <v>23</v>
      </c>
      <c r="L12" s="76" t="s">
        <v>64</v>
      </c>
      <c r="M12" s="37"/>
    </row>
    <row r="13" spans="1:13" ht="28">
      <c r="A13" s="56" t="s">
        <v>207</v>
      </c>
      <c r="B13" s="87"/>
      <c r="C13" s="37" t="s">
        <v>16</v>
      </c>
      <c r="D13" s="73" t="s">
        <v>208</v>
      </c>
      <c r="E13" s="56"/>
      <c r="F13" s="56"/>
      <c r="G13" s="74" t="s">
        <v>183</v>
      </c>
      <c r="H13" s="75" t="s">
        <v>21</v>
      </c>
      <c r="I13" s="89"/>
      <c r="J13" s="76" t="s">
        <v>184</v>
      </c>
      <c r="K13" s="76" t="s">
        <v>23</v>
      </c>
      <c r="L13" s="76" t="s">
        <v>64</v>
      </c>
      <c r="M13" s="37"/>
    </row>
    <row r="14" spans="1:13" ht="28">
      <c r="A14" s="56" t="s">
        <v>209</v>
      </c>
      <c r="B14" s="87"/>
      <c r="C14" s="37" t="s">
        <v>16</v>
      </c>
      <c r="D14" s="73" t="s">
        <v>210</v>
      </c>
      <c r="E14" s="56"/>
      <c r="F14" s="56"/>
      <c r="G14" s="74" t="s">
        <v>183</v>
      </c>
      <c r="H14" s="75" t="s">
        <v>21</v>
      </c>
      <c r="I14" s="89"/>
      <c r="J14" s="76" t="s">
        <v>184</v>
      </c>
      <c r="K14" s="76" t="s">
        <v>23</v>
      </c>
      <c r="L14" s="76" t="s">
        <v>64</v>
      </c>
      <c r="M14" s="37"/>
    </row>
    <row r="15" spans="1:13" ht="28">
      <c r="A15" s="56" t="s">
        <v>211</v>
      </c>
      <c r="B15" s="87"/>
      <c r="C15" s="37" t="s">
        <v>16</v>
      </c>
      <c r="D15" s="90" t="s">
        <v>212</v>
      </c>
      <c r="E15" s="56"/>
      <c r="F15" s="56"/>
      <c r="G15" s="74" t="s">
        <v>183</v>
      </c>
      <c r="H15" s="75" t="s">
        <v>21</v>
      </c>
      <c r="I15" s="89"/>
      <c r="J15" s="76" t="s">
        <v>184</v>
      </c>
      <c r="K15" s="76" t="s">
        <v>23</v>
      </c>
      <c r="L15" s="76" t="s">
        <v>64</v>
      </c>
      <c r="M15" s="37"/>
    </row>
    <row r="16" spans="1:13" ht="28">
      <c r="A16" s="56" t="s">
        <v>213</v>
      </c>
      <c r="B16" s="87"/>
      <c r="C16" s="37" t="s">
        <v>16</v>
      </c>
      <c r="D16" s="90" t="s">
        <v>214</v>
      </c>
      <c r="E16" s="56"/>
      <c r="F16" s="56"/>
      <c r="G16" s="74" t="s">
        <v>215</v>
      </c>
      <c r="H16" s="75" t="s">
        <v>21</v>
      </c>
      <c r="I16" s="89"/>
      <c r="J16" s="76" t="s">
        <v>184</v>
      </c>
      <c r="K16" s="76" t="s">
        <v>64</v>
      </c>
      <c r="L16" s="76" t="s">
        <v>64</v>
      </c>
      <c r="M16" s="37" t="s">
        <v>216</v>
      </c>
    </row>
    <row r="17" spans="1:13" ht="140">
      <c r="A17" s="56" t="s">
        <v>217</v>
      </c>
      <c r="B17" s="87"/>
      <c r="C17" s="37" t="s">
        <v>16</v>
      </c>
      <c r="D17" s="90" t="s">
        <v>218</v>
      </c>
      <c r="E17" s="56"/>
      <c r="F17" s="56"/>
      <c r="G17" s="74" t="s">
        <v>219</v>
      </c>
      <c r="H17" s="75" t="s">
        <v>21</v>
      </c>
      <c r="I17" s="89"/>
      <c r="J17" s="76" t="s">
        <v>184</v>
      </c>
      <c r="K17" s="76" t="s">
        <v>23</v>
      </c>
      <c r="L17" s="76" t="s">
        <v>23</v>
      </c>
      <c r="M17" s="59" t="s">
        <v>220</v>
      </c>
    </row>
    <row r="18" spans="1:13" ht="28">
      <c r="A18" s="56" t="s">
        <v>221</v>
      </c>
      <c r="B18" s="87"/>
      <c r="C18" s="37" t="s">
        <v>16</v>
      </c>
      <c r="D18" s="90" t="s">
        <v>222</v>
      </c>
      <c r="E18" s="56"/>
      <c r="F18" s="56"/>
      <c r="G18" s="74" t="s">
        <v>223</v>
      </c>
      <c r="H18" s="75" t="s">
        <v>21</v>
      </c>
      <c r="I18" s="87"/>
      <c r="J18" s="76" t="s">
        <v>184</v>
      </c>
      <c r="K18" s="76" t="s">
        <v>184</v>
      </c>
      <c r="L18" s="76" t="s">
        <v>224</v>
      </c>
      <c r="M18" s="59" t="s">
        <v>225</v>
      </c>
    </row>
    <row r="19" spans="1:13" ht="28">
      <c r="A19" s="56" t="s">
        <v>226</v>
      </c>
      <c r="B19" s="87"/>
      <c r="C19" s="37" t="s">
        <v>16</v>
      </c>
      <c r="D19" s="74" t="s">
        <v>227</v>
      </c>
      <c r="E19" s="56"/>
      <c r="F19" s="56"/>
      <c r="G19" s="74" t="s">
        <v>228</v>
      </c>
      <c r="H19" s="75" t="s">
        <v>21</v>
      </c>
      <c r="I19" s="87"/>
      <c r="J19" s="76" t="s">
        <v>184</v>
      </c>
      <c r="K19" s="76" t="s">
        <v>23</v>
      </c>
      <c r="L19" s="76" t="s">
        <v>23</v>
      </c>
      <c r="M19" s="88"/>
    </row>
    <row r="20" spans="1:13" ht="42">
      <c r="A20" s="56" t="s">
        <v>229</v>
      </c>
      <c r="B20" s="87"/>
      <c r="C20" s="37" t="s">
        <v>16</v>
      </c>
      <c r="D20" s="74" t="s">
        <v>230</v>
      </c>
      <c r="E20" s="56"/>
      <c r="F20" s="56"/>
      <c r="G20" s="59" t="s">
        <v>231</v>
      </c>
      <c r="H20" s="75" t="s">
        <v>21</v>
      </c>
      <c r="I20" s="87"/>
      <c r="J20" s="76" t="s">
        <v>184</v>
      </c>
      <c r="K20" s="76" t="s">
        <v>23</v>
      </c>
      <c r="L20" s="76" t="s">
        <v>23</v>
      </c>
      <c r="M20" s="91"/>
    </row>
    <row r="21" spans="1:13" ht="42" customHeight="1">
      <c r="A21" s="56" t="s">
        <v>232</v>
      </c>
      <c r="B21" s="87"/>
      <c r="C21" s="37" t="s">
        <v>16</v>
      </c>
      <c r="D21" s="74" t="s">
        <v>233</v>
      </c>
      <c r="E21" s="56"/>
      <c r="F21" s="56"/>
      <c r="G21" s="59" t="s">
        <v>234</v>
      </c>
      <c r="H21" s="75" t="s">
        <v>21</v>
      </c>
      <c r="I21" s="87"/>
      <c r="J21" s="76" t="s">
        <v>184</v>
      </c>
      <c r="K21" s="76" t="s">
        <v>23</v>
      </c>
      <c r="L21" s="76" t="s">
        <v>23</v>
      </c>
      <c r="M21" s="91"/>
    </row>
    <row r="22" spans="1:13" ht="30.75" customHeight="1">
      <c r="A22" s="56" t="s">
        <v>235</v>
      </c>
      <c r="B22" s="87"/>
      <c r="C22" s="37" t="s">
        <v>16</v>
      </c>
      <c r="D22" s="74" t="s">
        <v>236</v>
      </c>
      <c r="E22" s="56"/>
      <c r="F22" s="56"/>
      <c r="G22" s="74" t="s">
        <v>237</v>
      </c>
      <c r="H22" s="75" t="s">
        <v>21</v>
      </c>
      <c r="I22" s="92"/>
      <c r="J22" s="76" t="s">
        <v>184</v>
      </c>
      <c r="K22" s="76" t="s">
        <v>23</v>
      </c>
      <c r="L22" s="76" t="s">
        <v>23</v>
      </c>
      <c r="M22" s="88"/>
    </row>
    <row r="23" spans="1:13" ht="36.75" customHeight="1">
      <c r="A23" s="56" t="s">
        <v>238</v>
      </c>
      <c r="B23" s="87"/>
      <c r="C23" s="37" t="s">
        <v>16</v>
      </c>
      <c r="D23" s="74" t="s">
        <v>239</v>
      </c>
      <c r="E23" s="56"/>
      <c r="F23" s="56"/>
      <c r="G23" s="74" t="s">
        <v>240</v>
      </c>
      <c r="H23" s="75" t="s">
        <v>21</v>
      </c>
      <c r="I23" s="92"/>
      <c r="J23" s="76" t="s">
        <v>184</v>
      </c>
      <c r="K23" s="76" t="s">
        <v>23</v>
      </c>
      <c r="L23" s="76" t="s">
        <v>23</v>
      </c>
      <c r="M23" s="59" t="s">
        <v>241</v>
      </c>
    </row>
    <row r="24" spans="1:13" ht="33" customHeight="1">
      <c r="A24" s="56" t="s">
        <v>242</v>
      </c>
      <c r="B24" s="87"/>
      <c r="C24" s="37" t="s">
        <v>16</v>
      </c>
      <c r="D24" s="74" t="s">
        <v>243</v>
      </c>
      <c r="E24" s="56"/>
      <c r="F24" s="56"/>
      <c r="G24" s="74" t="s">
        <v>244</v>
      </c>
      <c r="H24" s="75" t="s">
        <v>21</v>
      </c>
      <c r="I24" s="92"/>
      <c r="J24" s="76" t="s">
        <v>184</v>
      </c>
      <c r="K24" s="76" t="s">
        <v>23</v>
      </c>
      <c r="L24" s="76" t="s">
        <v>23</v>
      </c>
      <c r="M24" s="59" t="s">
        <v>241</v>
      </c>
    </row>
    <row r="25" spans="1:13" ht="48" customHeight="1">
      <c r="A25" s="56" t="s">
        <v>245</v>
      </c>
      <c r="B25" s="87"/>
      <c r="C25" s="37" t="s">
        <v>16</v>
      </c>
      <c r="D25" s="74" t="s">
        <v>246</v>
      </c>
      <c r="E25" s="56"/>
      <c r="F25" s="56"/>
      <c r="G25" s="74" t="s">
        <v>247</v>
      </c>
      <c r="H25" s="75" t="s">
        <v>21</v>
      </c>
      <c r="I25" s="92"/>
      <c r="J25" s="76" t="s">
        <v>184</v>
      </c>
      <c r="K25" s="76" t="s">
        <v>184</v>
      </c>
      <c r="L25" s="76" t="s">
        <v>23</v>
      </c>
      <c r="M25" s="59" t="s">
        <v>248</v>
      </c>
    </row>
    <row r="26" spans="1:13" ht="48" customHeight="1">
      <c r="A26" s="56" t="s">
        <v>249</v>
      </c>
      <c r="B26" s="87"/>
      <c r="C26" s="37" t="s">
        <v>16</v>
      </c>
      <c r="D26" s="74" t="s">
        <v>250</v>
      </c>
      <c r="E26" s="56"/>
      <c r="F26" s="56"/>
      <c r="G26" s="74" t="s">
        <v>240</v>
      </c>
      <c r="H26" s="75" t="s">
        <v>21</v>
      </c>
      <c r="I26" s="92"/>
      <c r="J26" s="76" t="s">
        <v>184</v>
      </c>
      <c r="K26" s="76" t="s">
        <v>23</v>
      </c>
      <c r="L26" s="76" t="s">
        <v>23</v>
      </c>
      <c r="M26" s="74" t="s">
        <v>241</v>
      </c>
    </row>
    <row r="27" spans="1:13" ht="48" customHeight="1">
      <c r="A27" s="56" t="s">
        <v>251</v>
      </c>
      <c r="B27" s="87"/>
      <c r="C27" s="37" t="s">
        <v>16</v>
      </c>
      <c r="D27" s="74" t="s">
        <v>252</v>
      </c>
      <c r="E27" s="56"/>
      <c r="F27" s="56"/>
      <c r="G27" s="74" t="s">
        <v>244</v>
      </c>
      <c r="H27" s="75" t="s">
        <v>21</v>
      </c>
      <c r="I27" s="92"/>
      <c r="J27" s="76" t="s">
        <v>184</v>
      </c>
      <c r="K27" s="76" t="s">
        <v>23</v>
      </c>
      <c r="L27" s="76" t="s">
        <v>23</v>
      </c>
      <c r="M27" s="74" t="s">
        <v>241</v>
      </c>
    </row>
    <row r="28" spans="1:13" ht="48" customHeight="1">
      <c r="A28" s="56" t="s">
        <v>253</v>
      </c>
      <c r="B28" s="87"/>
      <c r="C28" s="37" t="s">
        <v>16</v>
      </c>
      <c r="D28" s="74" t="s">
        <v>254</v>
      </c>
      <c r="E28" s="56"/>
      <c r="F28" s="56"/>
      <c r="G28" s="74" t="s">
        <v>247</v>
      </c>
      <c r="H28" s="75" t="s">
        <v>21</v>
      </c>
      <c r="I28" s="92"/>
      <c r="J28" s="76" t="s">
        <v>184</v>
      </c>
      <c r="K28" s="76" t="s">
        <v>184</v>
      </c>
      <c r="L28" s="76" t="s">
        <v>23</v>
      </c>
      <c r="M28" s="74" t="s">
        <v>248</v>
      </c>
    </row>
    <row r="29" spans="1:13" ht="48" customHeight="1">
      <c r="A29" s="56" t="s">
        <v>255</v>
      </c>
      <c r="B29" s="87"/>
      <c r="C29" s="37" t="s">
        <v>16</v>
      </c>
      <c r="D29" s="74" t="s">
        <v>256</v>
      </c>
      <c r="E29" s="56"/>
      <c r="F29" s="56"/>
      <c r="G29" s="74" t="s">
        <v>240</v>
      </c>
      <c r="H29" s="75" t="s">
        <v>21</v>
      </c>
      <c r="I29" s="92"/>
      <c r="J29" s="76" t="s">
        <v>184</v>
      </c>
      <c r="K29" s="76" t="s">
        <v>23</v>
      </c>
      <c r="L29" s="76" t="s">
        <v>23</v>
      </c>
      <c r="M29" s="59" t="s">
        <v>241</v>
      </c>
    </row>
    <row r="30" spans="1:13" ht="48" customHeight="1">
      <c r="A30" s="56" t="s">
        <v>257</v>
      </c>
      <c r="B30" s="87"/>
      <c r="C30" s="37" t="s">
        <v>16</v>
      </c>
      <c r="D30" s="74" t="s">
        <v>258</v>
      </c>
      <c r="E30" s="56"/>
      <c r="F30" s="56"/>
      <c r="G30" s="74" t="s">
        <v>244</v>
      </c>
      <c r="H30" s="75" t="s">
        <v>21</v>
      </c>
      <c r="I30" s="92"/>
      <c r="J30" s="76" t="s">
        <v>184</v>
      </c>
      <c r="K30" s="76" t="s">
        <v>23</v>
      </c>
      <c r="L30" s="76" t="s">
        <v>23</v>
      </c>
      <c r="M30" s="74" t="s">
        <v>241</v>
      </c>
    </row>
    <row r="31" spans="1:13" ht="27" customHeight="1">
      <c r="A31" s="56" t="s">
        <v>259</v>
      </c>
      <c r="B31" s="87"/>
      <c r="C31" s="37" t="s">
        <v>16</v>
      </c>
      <c r="D31" s="74" t="s">
        <v>260</v>
      </c>
      <c r="E31" s="56"/>
      <c r="F31" s="56"/>
      <c r="G31" s="74" t="s">
        <v>247</v>
      </c>
      <c r="H31" s="75" t="s">
        <v>21</v>
      </c>
      <c r="I31" s="92"/>
      <c r="J31" s="76" t="s">
        <v>184</v>
      </c>
      <c r="K31" s="76" t="s">
        <v>184</v>
      </c>
      <c r="L31" s="76" t="s">
        <v>23</v>
      </c>
      <c r="M31" s="74" t="s">
        <v>248</v>
      </c>
    </row>
    <row r="32" spans="1:13" ht="27" customHeight="1">
      <c r="A32" s="56" t="s">
        <v>261</v>
      </c>
      <c r="B32" s="87"/>
      <c r="C32" s="37" t="s">
        <v>16</v>
      </c>
      <c r="D32" s="74" t="s">
        <v>262</v>
      </c>
      <c r="E32" s="56"/>
      <c r="F32" s="56"/>
      <c r="G32" s="74" t="s">
        <v>263</v>
      </c>
      <c r="H32" s="75" t="s">
        <v>21</v>
      </c>
      <c r="I32" s="92"/>
      <c r="J32" s="76" t="s">
        <v>184</v>
      </c>
      <c r="K32" s="76" t="s">
        <v>184</v>
      </c>
      <c r="L32" s="76" t="s">
        <v>224</v>
      </c>
      <c r="M32" s="88" t="s">
        <v>225</v>
      </c>
    </row>
    <row r="33" spans="1:13" ht="27" customHeight="1">
      <c r="A33" s="56" t="s">
        <v>264</v>
      </c>
      <c r="B33" s="87"/>
      <c r="C33" s="37" t="s">
        <v>16</v>
      </c>
      <c r="D33" s="74" t="s">
        <v>265</v>
      </c>
      <c r="E33" s="56"/>
      <c r="F33" s="56"/>
      <c r="G33" s="74" t="s">
        <v>266</v>
      </c>
      <c r="H33" s="75" t="s">
        <v>21</v>
      </c>
      <c r="I33" s="92"/>
      <c r="J33" s="76" t="s">
        <v>184</v>
      </c>
      <c r="K33" s="76" t="s">
        <v>184</v>
      </c>
      <c r="L33" s="76" t="s">
        <v>224</v>
      </c>
      <c r="M33" s="88" t="s">
        <v>267</v>
      </c>
    </row>
    <row r="34" spans="1:13" ht="27" customHeight="1">
      <c r="A34" s="56" t="s">
        <v>268</v>
      </c>
      <c r="B34" s="87"/>
      <c r="C34" s="37" t="s">
        <v>16</v>
      </c>
      <c r="D34" s="74" t="s">
        <v>269</v>
      </c>
      <c r="E34" s="56"/>
      <c r="F34" s="56"/>
      <c r="G34" s="74" t="s">
        <v>266</v>
      </c>
      <c r="H34" s="75" t="s">
        <v>21</v>
      </c>
      <c r="I34" s="92"/>
      <c r="J34" s="76" t="s">
        <v>184</v>
      </c>
      <c r="K34" s="76" t="s">
        <v>184</v>
      </c>
      <c r="L34" s="76" t="s">
        <v>224</v>
      </c>
      <c r="M34" s="88" t="s">
        <v>270</v>
      </c>
    </row>
    <row r="35" spans="1:13" ht="33.75" customHeight="1">
      <c r="A35" s="56" t="s">
        <v>271</v>
      </c>
      <c r="B35" s="87"/>
      <c r="C35" s="37" t="s">
        <v>16</v>
      </c>
      <c r="D35" s="74" t="s">
        <v>272</v>
      </c>
      <c r="E35" s="56"/>
      <c r="F35" s="56"/>
      <c r="G35" s="74" t="s">
        <v>273</v>
      </c>
      <c r="H35" s="75" t="s">
        <v>21</v>
      </c>
      <c r="I35" s="92"/>
      <c r="J35" s="76" t="s">
        <v>184</v>
      </c>
      <c r="K35" s="76" t="s">
        <v>184</v>
      </c>
      <c r="L35" s="76" t="s">
        <v>23</v>
      </c>
      <c r="M35" s="74" t="s">
        <v>274</v>
      </c>
    </row>
    <row r="36" spans="1:13" ht="33.75" customHeight="1">
      <c r="A36" s="56" t="s">
        <v>275</v>
      </c>
      <c r="B36" s="87"/>
      <c r="C36" s="37" t="s">
        <v>16</v>
      </c>
      <c r="D36" s="74" t="s">
        <v>276</v>
      </c>
      <c r="E36" s="56"/>
      <c r="F36" s="56"/>
      <c r="G36" s="74" t="s">
        <v>277</v>
      </c>
      <c r="H36" s="75" t="s">
        <v>21</v>
      </c>
      <c r="I36" s="92"/>
      <c r="J36" s="76" t="s">
        <v>184</v>
      </c>
      <c r="K36" s="76" t="s">
        <v>23</v>
      </c>
      <c r="L36" s="76" t="s">
        <v>23</v>
      </c>
      <c r="M36" s="74" t="s">
        <v>241</v>
      </c>
    </row>
    <row r="37" spans="1:13" ht="34.5" customHeight="1">
      <c r="A37" s="56" t="s">
        <v>278</v>
      </c>
      <c r="B37" s="87"/>
      <c r="C37" s="37" t="s">
        <v>16</v>
      </c>
      <c r="D37" s="74" t="s">
        <v>279</v>
      </c>
      <c r="E37" s="56"/>
      <c r="F37" s="56"/>
      <c r="G37" s="74" t="s">
        <v>277</v>
      </c>
      <c r="H37" s="75" t="s">
        <v>21</v>
      </c>
      <c r="I37" s="92"/>
      <c r="J37" s="76" t="s">
        <v>184</v>
      </c>
      <c r="K37" s="76" t="s">
        <v>23</v>
      </c>
      <c r="L37" s="76" t="s">
        <v>23</v>
      </c>
      <c r="M37" s="74" t="s">
        <v>241</v>
      </c>
    </row>
    <row r="38" spans="1:13" ht="27" customHeight="1">
      <c r="A38" s="56" t="s">
        <v>280</v>
      </c>
      <c r="B38" s="87"/>
      <c r="C38" s="37" t="s">
        <v>16</v>
      </c>
      <c r="D38" s="74" t="s">
        <v>281</v>
      </c>
      <c r="E38" s="56"/>
      <c r="F38" s="56"/>
      <c r="G38" s="74" t="s">
        <v>282</v>
      </c>
      <c r="H38" s="75" t="s">
        <v>21</v>
      </c>
      <c r="I38" s="92"/>
      <c r="J38" s="76" t="s">
        <v>184</v>
      </c>
      <c r="K38" s="76" t="s">
        <v>23</v>
      </c>
      <c r="L38" s="76" t="s">
        <v>23</v>
      </c>
      <c r="M38" s="74" t="s">
        <v>241</v>
      </c>
    </row>
    <row r="39" spans="1:13" ht="39" customHeight="1">
      <c r="A39" s="56" t="s">
        <v>283</v>
      </c>
      <c r="B39" s="87"/>
      <c r="C39" s="37" t="s">
        <v>16</v>
      </c>
      <c r="D39" s="74" t="s">
        <v>284</v>
      </c>
      <c r="E39" s="56"/>
      <c r="F39" s="56"/>
      <c r="G39" s="74" t="s">
        <v>285</v>
      </c>
      <c r="H39" s="75" t="s">
        <v>21</v>
      </c>
      <c r="I39" s="92"/>
      <c r="J39" s="76" t="s">
        <v>184</v>
      </c>
      <c r="K39" s="76" t="s">
        <v>184</v>
      </c>
      <c r="L39" s="76" t="s">
        <v>23</v>
      </c>
      <c r="M39" s="74" t="s">
        <v>286</v>
      </c>
    </row>
    <row r="40" spans="1:13" ht="34.5" customHeight="1">
      <c r="A40" s="56" t="s">
        <v>287</v>
      </c>
      <c r="B40" s="87"/>
      <c r="C40" s="37" t="s">
        <v>16</v>
      </c>
      <c r="D40" s="74" t="s">
        <v>288</v>
      </c>
      <c r="E40" s="56"/>
      <c r="F40" s="56"/>
      <c r="G40" s="74" t="s">
        <v>289</v>
      </c>
      <c r="H40" s="75" t="s">
        <v>21</v>
      </c>
      <c r="I40" s="92"/>
      <c r="J40" s="76" t="s">
        <v>184</v>
      </c>
      <c r="K40" s="76" t="s">
        <v>64</v>
      </c>
      <c r="L40" s="76" t="s">
        <v>224</v>
      </c>
      <c r="M40" s="74" t="s">
        <v>290</v>
      </c>
    </row>
    <row r="41" spans="1:13" ht="33.75" customHeight="1">
      <c r="A41" s="56" t="s">
        <v>291</v>
      </c>
      <c r="B41" s="87"/>
      <c r="C41" s="37" t="s">
        <v>16</v>
      </c>
      <c r="D41" s="74" t="s">
        <v>292</v>
      </c>
      <c r="E41" s="56"/>
      <c r="F41" s="56"/>
      <c r="G41" s="59" t="s">
        <v>293</v>
      </c>
      <c r="H41" s="75" t="s">
        <v>21</v>
      </c>
      <c r="I41" s="92"/>
      <c r="J41" s="76" t="s">
        <v>184</v>
      </c>
      <c r="K41" s="76" t="s">
        <v>184</v>
      </c>
      <c r="L41" s="76" t="s">
        <v>23</v>
      </c>
      <c r="M41" s="74" t="s">
        <v>294</v>
      </c>
    </row>
    <row r="42" spans="1:13" ht="39" customHeight="1">
      <c r="A42" s="56" t="s">
        <v>295</v>
      </c>
      <c r="B42" s="87"/>
      <c r="C42" s="37" t="s">
        <v>16</v>
      </c>
      <c r="D42" s="59" t="s">
        <v>296</v>
      </c>
      <c r="E42" s="56"/>
      <c r="F42" s="56"/>
      <c r="G42" s="87"/>
      <c r="H42" s="75" t="s">
        <v>21</v>
      </c>
      <c r="I42" s="87"/>
      <c r="J42" s="76" t="s">
        <v>184</v>
      </c>
      <c r="K42" s="76" t="s">
        <v>23</v>
      </c>
      <c r="L42" s="76" t="s">
        <v>23</v>
      </c>
      <c r="M42" s="87" t="s">
        <v>297</v>
      </c>
    </row>
  </sheetData>
  <phoneticPr fontId="106" type="noConversion"/>
  <dataValidations count="6">
    <dataValidation type="list" allowBlank="1" showInputMessage="1" showErrorMessage="1" sqref="L1:L1048576" xr:uid="{00000000-0002-0000-0B00-000000000000}">
      <formula1>"NT,PASS,FAIL,BLOCK,skip,"</formula1>
    </dataValidation>
    <dataValidation type="list" allowBlank="1" showInputMessage="1" showErrorMessage="1" sqref="J1:K1048576" xr:uid="{00000000-0002-0000-0B00-000001000000}">
      <formula1>"NT,PASS,FAIL,BLOCK,"</formula1>
    </dataValidation>
    <dataValidation type="list" showInputMessage="1" showErrorMessage="1" sqref="C2:C42" xr:uid="{00000000-0002-0000-0B00-000003000000}">
      <formula1>"Basicfunction,Cross-module,Pressure,Performance"</formula1>
    </dataValidation>
    <dataValidation type="list" showInputMessage="1" showErrorMessage="1" sqref="E5:E42" xr:uid="{00000000-0002-0000-0B00-000004000000}">
      <formula1>"Result,Skipped/Aborted,基础FPGA PASS,基础FPGA FAIL,基础Palladium PASS,基础Palladium FAIL,"</formula1>
    </dataValidation>
    <dataValidation type="list" showInputMessage="1" showErrorMessage="1" sqref="F5:F42" xr:uid="{00000000-0002-0000-0B00-000005000000}">
      <formula1>"Skipped/Aborted,合成FPGA PASS,合成FPGA FAIL,合成Palladium PASS,合成Palladium FAIL,"</formula1>
    </dataValidation>
    <dataValidation type="list" allowBlank="1" showInputMessage="1" showErrorMessage="1" sqref="H2:H42" xr:uid="{00000000-0002-0000-0B00-000006000000}">
      <formula1>"P0,P1,P2,"</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PCIECV_USP"/>
  <dimension ref="A1:K92"/>
  <sheetViews>
    <sheetView workbookViewId="0">
      <pane ySplit="2" topLeftCell="A3" activePane="bottomLeft" state="frozen"/>
      <selection pane="bottomLeft" activeCell="H6" sqref="H6"/>
    </sheetView>
  </sheetViews>
  <sheetFormatPr defaultRowHeight="14"/>
  <cols>
    <col min="1" max="1" width="27.36328125" style="35" customWidth="1"/>
    <col min="2" max="2" width="13.453125" style="35" customWidth="1"/>
    <col min="3" max="3" width="14" style="35" customWidth="1"/>
    <col min="4" max="4" width="75.54296875" style="35" customWidth="1"/>
    <col min="5" max="5" width="12.54296875" style="35" customWidth="1"/>
    <col min="6" max="6" width="17.54296875" style="35" customWidth="1"/>
    <col min="7" max="7" width="20.453125" style="35" customWidth="1"/>
    <col min="8" max="8" width="13.6328125" style="35" customWidth="1"/>
    <col min="9" max="9" width="13.7265625" style="35" customWidth="1"/>
    <col min="10" max="11" width="13.453125" style="35" customWidth="1"/>
  </cols>
  <sheetData>
    <row r="1" spans="1:11" ht="33" customHeight="1">
      <c r="A1" s="1031" t="s">
        <v>0</v>
      </c>
      <c r="B1" s="999" t="s">
        <v>2</v>
      </c>
      <c r="C1" s="999" t="s">
        <v>1</v>
      </c>
      <c r="D1" s="999" t="s">
        <v>3</v>
      </c>
      <c r="E1" s="1030" t="s">
        <v>4</v>
      </c>
      <c r="F1" s="1030" t="s">
        <v>5</v>
      </c>
      <c r="G1" s="1030" t="s">
        <v>6</v>
      </c>
      <c r="H1" s="1030" t="s">
        <v>7</v>
      </c>
      <c r="I1" s="1030" t="s">
        <v>8</v>
      </c>
      <c r="J1" s="1030" t="s">
        <v>9</v>
      </c>
      <c r="K1" s="984"/>
    </row>
    <row r="2" spans="1:11" ht="48.75" customHeight="1">
      <c r="A2" s="987"/>
      <c r="B2" s="984"/>
      <c r="C2" s="984"/>
      <c r="D2" s="984"/>
      <c r="E2" s="984"/>
      <c r="F2" s="984"/>
      <c r="G2" s="984"/>
      <c r="H2" s="984"/>
      <c r="I2" s="984"/>
      <c r="J2" s="95" t="s">
        <v>3270</v>
      </c>
      <c r="K2" s="95" t="s">
        <v>3271</v>
      </c>
    </row>
    <row r="3" spans="1:11">
      <c r="A3" s="627" t="s">
        <v>1549</v>
      </c>
      <c r="B3" s="169" t="s">
        <v>16</v>
      </c>
      <c r="C3" s="169"/>
      <c r="D3" s="580" t="s">
        <v>1360</v>
      </c>
      <c r="E3" s="169"/>
      <c r="F3" s="169" t="s">
        <v>1361</v>
      </c>
      <c r="G3" s="169"/>
      <c r="H3" s="169"/>
      <c r="I3" s="169"/>
      <c r="J3" s="546"/>
      <c r="K3" s="546"/>
    </row>
    <row r="4" spans="1:11">
      <c r="A4" s="56" t="s">
        <v>1550</v>
      </c>
      <c r="B4" s="37" t="s">
        <v>16</v>
      </c>
      <c r="C4" s="37"/>
      <c r="D4" s="59" t="s">
        <v>1551</v>
      </c>
      <c r="E4" s="37"/>
      <c r="F4" s="37" t="s">
        <v>1361</v>
      </c>
      <c r="G4" s="37"/>
      <c r="H4" s="37"/>
      <c r="I4" s="37"/>
      <c r="J4" s="76"/>
      <c r="K4" s="76"/>
    </row>
    <row r="5" spans="1:11">
      <c r="A5" s="56" t="s">
        <v>1552</v>
      </c>
      <c r="B5" s="37" t="s">
        <v>16</v>
      </c>
      <c r="C5" s="37"/>
      <c r="D5" s="59" t="s">
        <v>1553</v>
      </c>
      <c r="E5" s="37"/>
      <c r="F5" s="37" t="s">
        <v>1361</v>
      </c>
      <c r="G5" s="59"/>
      <c r="H5" s="37"/>
      <c r="I5" s="37"/>
      <c r="J5" s="76"/>
      <c r="K5" s="76"/>
    </row>
    <row r="6" spans="1:11">
      <c r="A6" s="56" t="s">
        <v>1554</v>
      </c>
      <c r="B6" s="37" t="s">
        <v>16</v>
      </c>
      <c r="C6" s="37"/>
      <c r="D6" s="59" t="s">
        <v>1555</v>
      </c>
      <c r="E6" s="37"/>
      <c r="F6" s="37" t="s">
        <v>1361</v>
      </c>
      <c r="G6" s="37"/>
      <c r="H6" s="37"/>
      <c r="I6" s="37"/>
      <c r="J6" s="76"/>
      <c r="K6" s="76"/>
    </row>
    <row r="7" spans="1:11">
      <c r="A7" s="56" t="s">
        <v>1556</v>
      </c>
      <c r="B7" s="37" t="s">
        <v>16</v>
      </c>
      <c r="C7" s="37"/>
      <c r="D7" s="59" t="s">
        <v>1557</v>
      </c>
      <c r="E7" s="37"/>
      <c r="F7" s="37" t="s">
        <v>1361</v>
      </c>
      <c r="G7" s="37"/>
      <c r="H7" s="37"/>
      <c r="I7" s="37"/>
      <c r="J7" s="76"/>
      <c r="K7" s="76"/>
    </row>
    <row r="8" spans="1:11">
      <c r="A8" s="56" t="s">
        <v>1558</v>
      </c>
      <c r="B8" s="37" t="s">
        <v>16</v>
      </c>
      <c r="C8" s="37"/>
      <c r="D8" s="59" t="s">
        <v>1559</v>
      </c>
      <c r="E8" s="37"/>
      <c r="F8" s="37" t="s">
        <v>1361</v>
      </c>
      <c r="G8" s="59"/>
      <c r="H8" s="59"/>
      <c r="I8" s="37"/>
      <c r="J8" s="76"/>
      <c r="K8" s="76"/>
    </row>
    <row r="9" spans="1:11">
      <c r="A9" s="56" t="s">
        <v>1560</v>
      </c>
      <c r="B9" s="37" t="s">
        <v>16</v>
      </c>
      <c r="C9" s="37"/>
      <c r="D9" s="59" t="s">
        <v>1561</v>
      </c>
      <c r="E9" s="37"/>
      <c r="F9" s="37" t="s">
        <v>1361</v>
      </c>
      <c r="G9" s="59"/>
      <c r="H9" s="37"/>
      <c r="I9" s="37"/>
      <c r="J9" s="76"/>
      <c r="K9" s="76"/>
    </row>
    <row r="10" spans="1:11">
      <c r="A10" s="56" t="s">
        <v>1562</v>
      </c>
      <c r="B10" s="37" t="s">
        <v>16</v>
      </c>
      <c r="C10" s="37"/>
      <c r="D10" s="59" t="s">
        <v>1563</v>
      </c>
      <c r="E10" s="37"/>
      <c r="F10" s="37" t="s">
        <v>1361</v>
      </c>
      <c r="G10" s="37"/>
      <c r="H10" s="37"/>
      <c r="I10" s="37"/>
      <c r="J10" s="76"/>
      <c r="K10" s="76"/>
    </row>
    <row r="11" spans="1:11">
      <c r="A11" s="56" t="s">
        <v>1564</v>
      </c>
      <c r="B11" s="37" t="s">
        <v>16</v>
      </c>
      <c r="C11" s="37"/>
      <c r="D11" s="59" t="s">
        <v>1565</v>
      </c>
      <c r="E11" s="37"/>
      <c r="F11" s="37" t="s">
        <v>1361</v>
      </c>
      <c r="G11" s="37"/>
      <c r="H11" s="37"/>
      <c r="I11" s="37"/>
      <c r="J11" s="76"/>
      <c r="K11" s="76"/>
    </row>
    <row r="12" spans="1:11">
      <c r="A12" s="56" t="s">
        <v>1566</v>
      </c>
      <c r="B12" s="37" t="s">
        <v>16</v>
      </c>
      <c r="C12" s="37"/>
      <c r="D12" s="59" t="s">
        <v>1567</v>
      </c>
      <c r="E12" s="37"/>
      <c r="F12" s="37" t="s">
        <v>1361</v>
      </c>
      <c r="G12" s="37"/>
      <c r="H12" s="37"/>
      <c r="I12" s="37"/>
      <c r="J12" s="76"/>
      <c r="K12" s="76"/>
    </row>
    <row r="13" spans="1:11">
      <c r="A13" s="56" t="s">
        <v>1568</v>
      </c>
      <c r="B13" s="37" t="s">
        <v>16</v>
      </c>
      <c r="C13" s="37"/>
      <c r="D13" s="59" t="s">
        <v>1569</v>
      </c>
      <c r="E13" s="37"/>
      <c r="F13" s="37" t="s">
        <v>1361</v>
      </c>
      <c r="G13" s="37"/>
      <c r="H13" s="37"/>
      <c r="I13" s="37"/>
      <c r="J13" s="76"/>
      <c r="K13" s="76"/>
    </row>
    <row r="14" spans="1:11">
      <c r="A14" s="56" t="s">
        <v>1570</v>
      </c>
      <c r="B14" s="37" t="s">
        <v>16</v>
      </c>
      <c r="C14" s="37"/>
      <c r="D14" s="59" t="s">
        <v>1571</v>
      </c>
      <c r="E14" s="37"/>
      <c r="F14" s="37" t="s">
        <v>1361</v>
      </c>
      <c r="G14" s="59"/>
      <c r="H14" s="37"/>
      <c r="I14" s="37"/>
      <c r="J14" s="76"/>
      <c r="K14" s="76"/>
    </row>
    <row r="15" spans="1:11">
      <c r="A15" s="56" t="s">
        <v>1572</v>
      </c>
      <c r="B15" s="37" t="s">
        <v>16</v>
      </c>
      <c r="C15" s="37"/>
      <c r="D15" s="59" t="s">
        <v>1573</v>
      </c>
      <c r="E15" s="37"/>
      <c r="F15" s="37" t="s">
        <v>1361</v>
      </c>
      <c r="G15" s="37"/>
      <c r="H15" s="37"/>
      <c r="I15" s="37"/>
      <c r="J15" s="76"/>
      <c r="K15" s="76"/>
    </row>
    <row r="16" spans="1:11">
      <c r="A16" s="56" t="s">
        <v>1574</v>
      </c>
      <c r="B16" s="37" t="s">
        <v>16</v>
      </c>
      <c r="C16" s="37"/>
      <c r="D16" s="59" t="s">
        <v>1575</v>
      </c>
      <c r="E16" s="37"/>
      <c r="F16" s="37" t="s">
        <v>1361</v>
      </c>
      <c r="G16" s="37"/>
      <c r="H16" s="37"/>
      <c r="I16" s="37"/>
      <c r="J16" s="76"/>
      <c r="K16" s="76"/>
    </row>
    <row r="17" spans="1:11">
      <c r="A17" s="56" t="s">
        <v>1576</v>
      </c>
      <c r="B17" s="37" t="s">
        <v>16</v>
      </c>
      <c r="C17" s="37"/>
      <c r="D17" s="59" t="s">
        <v>1577</v>
      </c>
      <c r="E17" s="37"/>
      <c r="F17" s="37" t="s">
        <v>1361</v>
      </c>
      <c r="G17" s="37"/>
      <c r="H17" s="37"/>
      <c r="I17" s="37"/>
      <c r="J17" s="76"/>
      <c r="K17" s="76"/>
    </row>
    <row r="18" spans="1:11">
      <c r="A18" s="56" t="s">
        <v>1578</v>
      </c>
      <c r="B18" s="37" t="s">
        <v>16</v>
      </c>
      <c r="C18" s="37"/>
      <c r="D18" s="59" t="s">
        <v>1579</v>
      </c>
      <c r="E18" s="37"/>
      <c r="F18" s="37" t="s">
        <v>1361</v>
      </c>
      <c r="G18" s="37"/>
      <c r="H18" s="37"/>
      <c r="I18" s="37"/>
      <c r="J18" s="76"/>
      <c r="K18" s="76"/>
    </row>
    <row r="19" spans="1:11">
      <c r="A19" s="56" t="s">
        <v>1580</v>
      </c>
      <c r="B19" s="37" t="s">
        <v>16</v>
      </c>
      <c r="C19" s="37"/>
      <c r="D19" s="59" t="s">
        <v>1581</v>
      </c>
      <c r="E19" s="37"/>
      <c r="F19" s="37" t="s">
        <v>1361</v>
      </c>
      <c r="G19" s="37"/>
      <c r="H19" s="37"/>
      <c r="I19" s="37"/>
      <c r="J19" s="76"/>
      <c r="K19" s="76"/>
    </row>
    <row r="20" spans="1:11">
      <c r="A20" s="56" t="s">
        <v>1582</v>
      </c>
      <c r="B20" s="37" t="s">
        <v>16</v>
      </c>
      <c r="C20" s="37"/>
      <c r="D20" s="59" t="s">
        <v>1583</v>
      </c>
      <c r="E20" s="37"/>
      <c r="F20" s="37" t="s">
        <v>1361</v>
      </c>
      <c r="G20" s="37"/>
      <c r="H20" s="37"/>
      <c r="I20" s="37"/>
      <c r="J20" s="76"/>
      <c r="K20" s="76"/>
    </row>
    <row r="21" spans="1:11">
      <c r="A21" s="56" t="s">
        <v>1584</v>
      </c>
      <c r="B21" s="37" t="s">
        <v>16</v>
      </c>
      <c r="C21" s="37"/>
      <c r="D21" s="59" t="s">
        <v>1585</v>
      </c>
      <c r="E21" s="37"/>
      <c r="F21" s="37" t="s">
        <v>1361</v>
      </c>
      <c r="G21" s="37"/>
      <c r="H21" s="37"/>
      <c r="I21" s="37"/>
      <c r="J21" s="76"/>
      <c r="K21" s="76"/>
    </row>
    <row r="22" spans="1:11" ht="18.75" customHeight="1">
      <c r="A22" s="56" t="s">
        <v>1586</v>
      </c>
      <c r="B22" s="37" t="s">
        <v>16</v>
      </c>
      <c r="C22" s="37"/>
      <c r="D22" s="59" t="s">
        <v>1587</v>
      </c>
      <c r="E22" s="37"/>
      <c r="F22" s="37" t="s">
        <v>1361</v>
      </c>
      <c r="G22" s="59"/>
      <c r="H22" s="37"/>
      <c r="I22" s="37"/>
      <c r="J22" s="76"/>
      <c r="K22" s="76"/>
    </row>
    <row r="23" spans="1:11">
      <c r="A23" s="56" t="s">
        <v>1588</v>
      </c>
      <c r="B23" s="37" t="s">
        <v>16</v>
      </c>
      <c r="C23" s="37"/>
      <c r="D23" s="59" t="s">
        <v>1589</v>
      </c>
      <c r="E23" s="37"/>
      <c r="F23" s="37" t="s">
        <v>1361</v>
      </c>
      <c r="G23" s="37"/>
      <c r="H23" s="37"/>
      <c r="I23" s="37"/>
      <c r="J23" s="76"/>
      <c r="K23" s="76"/>
    </row>
    <row r="24" spans="1:11">
      <c r="A24" s="56" t="s">
        <v>1590</v>
      </c>
      <c r="B24" s="37" t="s">
        <v>16</v>
      </c>
      <c r="C24" s="37"/>
      <c r="D24" s="59" t="s">
        <v>1591</v>
      </c>
      <c r="E24" s="37"/>
      <c r="F24" s="37" t="s">
        <v>1361</v>
      </c>
      <c r="G24" s="37"/>
      <c r="H24" s="37"/>
      <c r="I24" s="37"/>
      <c r="J24" s="76"/>
      <c r="K24" s="76"/>
    </row>
    <row r="25" spans="1:11">
      <c r="A25" s="56" t="s">
        <v>1592</v>
      </c>
      <c r="B25" s="37" t="s">
        <v>16</v>
      </c>
      <c r="C25" s="37"/>
      <c r="D25" s="59" t="s">
        <v>1593</v>
      </c>
      <c r="E25" s="37"/>
      <c r="F25" s="37" t="s">
        <v>1361</v>
      </c>
      <c r="G25" s="37"/>
      <c r="H25" s="37"/>
      <c r="I25" s="37"/>
      <c r="J25" s="76"/>
      <c r="K25" s="76"/>
    </row>
    <row r="26" spans="1:11">
      <c r="A26" s="56" t="s">
        <v>1594</v>
      </c>
      <c r="B26" s="37" t="s">
        <v>16</v>
      </c>
      <c r="C26" s="37"/>
      <c r="D26" s="59" t="s">
        <v>1595</v>
      </c>
      <c r="E26" s="37"/>
      <c r="F26" s="37" t="s">
        <v>1361</v>
      </c>
      <c r="G26" s="37"/>
      <c r="H26" s="37"/>
      <c r="I26" s="37"/>
      <c r="J26" s="76"/>
      <c r="K26" s="76"/>
    </row>
    <row r="27" spans="1:11">
      <c r="A27" s="56" t="s">
        <v>1596</v>
      </c>
      <c r="B27" s="37" t="s">
        <v>16</v>
      </c>
      <c r="C27" s="37"/>
      <c r="D27" s="59" t="s">
        <v>1597</v>
      </c>
      <c r="E27" s="37"/>
      <c r="F27" s="37" t="s">
        <v>1361</v>
      </c>
      <c r="G27" s="37"/>
      <c r="H27" s="37"/>
      <c r="I27" s="37"/>
      <c r="J27" s="76"/>
      <c r="K27" s="76"/>
    </row>
    <row r="28" spans="1:11">
      <c r="A28" s="56" t="s">
        <v>1598</v>
      </c>
      <c r="B28" s="37" t="s">
        <v>16</v>
      </c>
      <c r="C28" s="37"/>
      <c r="D28" s="59" t="s">
        <v>1599</v>
      </c>
      <c r="E28" s="37"/>
      <c r="F28" s="37" t="s">
        <v>1361</v>
      </c>
      <c r="G28" s="37"/>
      <c r="H28" s="37"/>
      <c r="I28" s="37"/>
      <c r="J28" s="76"/>
      <c r="K28" s="76"/>
    </row>
    <row r="29" spans="1:11">
      <c r="A29" s="56" t="s">
        <v>1600</v>
      </c>
      <c r="B29" s="37" t="s">
        <v>16</v>
      </c>
      <c r="C29" s="37"/>
      <c r="D29" s="59" t="s">
        <v>1601</v>
      </c>
      <c r="E29" s="37"/>
      <c r="F29" s="37" t="s">
        <v>1361</v>
      </c>
      <c r="G29" s="37"/>
      <c r="H29" s="37"/>
      <c r="I29" s="37"/>
      <c r="J29" s="76"/>
      <c r="K29" s="76"/>
    </row>
    <row r="30" spans="1:11">
      <c r="A30" s="56" t="s">
        <v>1602</v>
      </c>
      <c r="B30" s="37" t="s">
        <v>16</v>
      </c>
      <c r="C30" s="37"/>
      <c r="D30" s="59" t="s">
        <v>1603</v>
      </c>
      <c r="E30" s="37"/>
      <c r="F30" s="37" t="s">
        <v>1361</v>
      </c>
      <c r="G30" s="37"/>
      <c r="H30" s="37"/>
      <c r="I30" s="37"/>
      <c r="J30" s="76"/>
      <c r="K30" s="76"/>
    </row>
    <row r="31" spans="1:11">
      <c r="A31" s="56" t="s">
        <v>1604</v>
      </c>
      <c r="B31" s="37" t="s">
        <v>16</v>
      </c>
      <c r="C31" s="37"/>
      <c r="D31" s="59" t="s">
        <v>1605</v>
      </c>
      <c r="E31" s="37"/>
      <c r="F31" s="37" t="s">
        <v>1361</v>
      </c>
      <c r="G31" s="37"/>
      <c r="H31" s="37"/>
      <c r="I31" s="37"/>
      <c r="J31" s="76"/>
      <c r="K31" s="76"/>
    </row>
    <row r="32" spans="1:11">
      <c r="A32" s="56" t="s">
        <v>1606</v>
      </c>
      <c r="B32" s="37" t="s">
        <v>16</v>
      </c>
      <c r="C32" s="37"/>
      <c r="D32" s="59" t="s">
        <v>1607</v>
      </c>
      <c r="E32" s="37"/>
      <c r="F32" s="37" t="s">
        <v>1361</v>
      </c>
      <c r="G32" s="37"/>
      <c r="H32" s="37"/>
      <c r="I32" s="37"/>
      <c r="J32" s="76"/>
      <c r="K32" s="76"/>
    </row>
    <row r="33" spans="1:11">
      <c r="A33" s="56" t="s">
        <v>1608</v>
      </c>
      <c r="B33" s="37" t="s">
        <v>16</v>
      </c>
      <c r="C33" s="37"/>
      <c r="D33" s="59" t="s">
        <v>1609</v>
      </c>
      <c r="E33" s="37"/>
      <c r="F33" s="37" t="s">
        <v>1361</v>
      </c>
      <c r="G33" s="59"/>
      <c r="H33" s="37"/>
      <c r="I33" s="37"/>
      <c r="J33" s="76"/>
      <c r="K33" s="76"/>
    </row>
    <row r="34" spans="1:11">
      <c r="A34" s="56" t="s">
        <v>1610</v>
      </c>
      <c r="B34" s="37" t="s">
        <v>16</v>
      </c>
      <c r="C34" s="37"/>
      <c r="D34" s="59" t="s">
        <v>1611</v>
      </c>
      <c r="E34" s="37"/>
      <c r="F34" s="37" t="s">
        <v>1361</v>
      </c>
      <c r="G34" s="37"/>
      <c r="H34" s="37"/>
      <c r="I34" s="37"/>
      <c r="J34" s="76"/>
      <c r="K34" s="76"/>
    </row>
    <row r="35" spans="1:11">
      <c r="A35" s="56" t="s">
        <v>1612</v>
      </c>
      <c r="B35" s="37" t="s">
        <v>16</v>
      </c>
      <c r="C35" s="37"/>
      <c r="D35" s="59" t="s">
        <v>1613</v>
      </c>
      <c r="E35" s="37"/>
      <c r="F35" s="37" t="s">
        <v>1361</v>
      </c>
      <c r="G35" s="37"/>
      <c r="H35" s="37"/>
      <c r="I35" s="37"/>
      <c r="J35" s="76"/>
      <c r="K35" s="76"/>
    </row>
    <row r="36" spans="1:11">
      <c r="A36" s="56" t="s">
        <v>1614</v>
      </c>
      <c r="B36" s="37" t="s">
        <v>16</v>
      </c>
      <c r="C36" s="37"/>
      <c r="D36" s="59" t="s">
        <v>1615</v>
      </c>
      <c r="E36" s="37"/>
      <c r="F36" s="37" t="s">
        <v>1361</v>
      </c>
      <c r="G36" s="37"/>
      <c r="H36" s="37"/>
      <c r="I36" s="37"/>
      <c r="J36" s="76"/>
      <c r="K36" s="76"/>
    </row>
    <row r="37" spans="1:11">
      <c r="A37" s="56" t="s">
        <v>1616</v>
      </c>
      <c r="B37" s="37" t="s">
        <v>16</v>
      </c>
      <c r="C37" s="37"/>
      <c r="D37" s="59" t="s">
        <v>1617</v>
      </c>
      <c r="E37" s="37"/>
      <c r="F37" s="37" t="s">
        <v>1361</v>
      </c>
      <c r="G37" s="37"/>
      <c r="H37" s="37"/>
      <c r="I37" s="37"/>
      <c r="J37" s="76"/>
      <c r="K37" s="76"/>
    </row>
    <row r="38" spans="1:11">
      <c r="A38" s="56" t="s">
        <v>1618</v>
      </c>
      <c r="B38" s="37" t="s">
        <v>16</v>
      </c>
      <c r="C38" s="37"/>
      <c r="D38" s="59" t="s">
        <v>1619</v>
      </c>
      <c r="E38" s="37"/>
      <c r="F38" s="37" t="s">
        <v>1361</v>
      </c>
      <c r="G38" s="59"/>
      <c r="H38" s="37"/>
      <c r="I38" s="37"/>
      <c r="J38" s="76"/>
      <c r="K38" s="76"/>
    </row>
    <row r="39" spans="1:11">
      <c r="A39" s="56" t="s">
        <v>1620</v>
      </c>
      <c r="B39" s="37" t="s">
        <v>16</v>
      </c>
      <c r="C39" s="37"/>
      <c r="D39" s="59" t="s">
        <v>1621</v>
      </c>
      <c r="E39" s="37"/>
      <c r="F39" s="37" t="s">
        <v>1361</v>
      </c>
      <c r="G39" s="37"/>
      <c r="H39" s="37"/>
      <c r="I39" s="37"/>
      <c r="J39" s="76"/>
      <c r="K39" s="76"/>
    </row>
    <row r="40" spans="1:11">
      <c r="A40" s="56" t="s">
        <v>1622</v>
      </c>
      <c r="B40" s="37" t="s">
        <v>16</v>
      </c>
      <c r="C40" s="37"/>
      <c r="D40" s="59" t="s">
        <v>1623</v>
      </c>
      <c r="E40" s="37"/>
      <c r="F40" s="37" t="s">
        <v>1361</v>
      </c>
      <c r="G40" s="59"/>
      <c r="H40" s="37"/>
      <c r="I40" s="37"/>
      <c r="J40" s="76"/>
      <c r="K40" s="76"/>
    </row>
    <row r="41" spans="1:11">
      <c r="A41" s="56" t="s">
        <v>1624</v>
      </c>
      <c r="B41" s="37" t="s">
        <v>16</v>
      </c>
      <c r="C41" s="37"/>
      <c r="D41" s="59" t="s">
        <v>1625</v>
      </c>
      <c r="E41" s="37"/>
      <c r="F41" s="37" t="s">
        <v>1361</v>
      </c>
      <c r="G41" s="37"/>
      <c r="H41" s="37"/>
      <c r="I41" s="37"/>
      <c r="J41" s="76"/>
      <c r="K41" s="76"/>
    </row>
    <row r="42" spans="1:11">
      <c r="A42" s="56" t="s">
        <v>1626</v>
      </c>
      <c r="B42" s="37" t="s">
        <v>16</v>
      </c>
      <c r="C42" s="37"/>
      <c r="D42" s="59" t="s">
        <v>1627</v>
      </c>
      <c r="E42" s="37"/>
      <c r="F42" s="37" t="s">
        <v>1361</v>
      </c>
      <c r="G42" s="37"/>
      <c r="H42" s="37"/>
      <c r="I42" s="37"/>
      <c r="J42" s="76"/>
      <c r="K42" s="76"/>
    </row>
    <row r="43" spans="1:11">
      <c r="A43" s="56" t="s">
        <v>1628</v>
      </c>
      <c r="B43" s="37" t="s">
        <v>16</v>
      </c>
      <c r="C43" s="37"/>
      <c r="D43" s="59" t="s">
        <v>1629</v>
      </c>
      <c r="E43" s="37"/>
      <c r="F43" s="37" t="s">
        <v>1361</v>
      </c>
      <c r="G43" s="37"/>
      <c r="H43" s="37"/>
      <c r="I43" s="37"/>
      <c r="J43" s="76"/>
      <c r="K43" s="76"/>
    </row>
    <row r="44" spans="1:11">
      <c r="A44" s="56" t="s">
        <v>1630</v>
      </c>
      <c r="B44" s="37" t="s">
        <v>16</v>
      </c>
      <c r="C44" s="37"/>
      <c r="D44" s="59" t="s">
        <v>1631</v>
      </c>
      <c r="E44" s="37"/>
      <c r="F44" s="37" t="s">
        <v>1361</v>
      </c>
      <c r="G44" s="37"/>
      <c r="H44" s="37"/>
      <c r="I44" s="37"/>
      <c r="J44" s="76"/>
      <c r="K44" s="76"/>
    </row>
    <row r="45" spans="1:11" ht="28">
      <c r="A45" s="56" t="s">
        <v>1632</v>
      </c>
      <c r="B45" s="37" t="s">
        <v>16</v>
      </c>
      <c r="C45" s="37"/>
      <c r="D45" s="59" t="s">
        <v>1633</v>
      </c>
      <c r="E45" s="37"/>
      <c r="F45" s="37" t="s">
        <v>1361</v>
      </c>
      <c r="G45" s="37"/>
      <c r="H45" s="37"/>
      <c r="I45" s="37"/>
      <c r="J45" s="76"/>
      <c r="K45" s="76"/>
    </row>
    <row r="46" spans="1:11">
      <c r="A46" s="56" t="s">
        <v>1634</v>
      </c>
      <c r="B46" s="37" t="s">
        <v>16</v>
      </c>
      <c r="C46" s="37"/>
      <c r="D46" s="59" t="s">
        <v>1635</v>
      </c>
      <c r="E46" s="37"/>
      <c r="F46" s="37" t="s">
        <v>1361</v>
      </c>
      <c r="G46" s="37"/>
      <c r="H46" s="37"/>
      <c r="I46" s="37"/>
      <c r="J46" s="76"/>
      <c r="K46" s="76"/>
    </row>
    <row r="47" spans="1:11">
      <c r="A47" s="56" t="s">
        <v>1636</v>
      </c>
      <c r="B47" s="37" t="s">
        <v>16</v>
      </c>
      <c r="C47" s="37"/>
      <c r="D47" s="59" t="s">
        <v>1637</v>
      </c>
      <c r="E47" s="37"/>
      <c r="F47" s="37" t="s">
        <v>1361</v>
      </c>
      <c r="G47" s="37"/>
      <c r="H47" s="37"/>
      <c r="I47" s="37"/>
      <c r="J47" s="76"/>
      <c r="K47" s="76"/>
    </row>
    <row r="48" spans="1:11">
      <c r="A48" s="56" t="s">
        <v>1638</v>
      </c>
      <c r="B48" s="37" t="s">
        <v>16</v>
      </c>
      <c r="C48" s="37"/>
      <c r="D48" s="59" t="s">
        <v>1639</v>
      </c>
      <c r="E48" s="37"/>
      <c r="F48" s="37" t="s">
        <v>1361</v>
      </c>
      <c r="G48" s="37"/>
      <c r="H48" s="37"/>
      <c r="I48" s="37"/>
      <c r="J48" s="76"/>
      <c r="K48" s="76"/>
    </row>
    <row r="49" spans="1:11">
      <c r="A49" s="56" t="s">
        <v>1640</v>
      </c>
      <c r="B49" s="37" t="s">
        <v>16</v>
      </c>
      <c r="C49" s="37"/>
      <c r="D49" s="59" t="s">
        <v>1641</v>
      </c>
      <c r="E49" s="37"/>
      <c r="F49" s="37" t="s">
        <v>1361</v>
      </c>
      <c r="G49" s="37"/>
      <c r="H49" s="37"/>
      <c r="I49" s="37"/>
      <c r="J49" s="76"/>
      <c r="K49" s="76"/>
    </row>
    <row r="50" spans="1:11">
      <c r="A50" s="56" t="s">
        <v>1642</v>
      </c>
      <c r="B50" s="37" t="s">
        <v>16</v>
      </c>
      <c r="C50" s="37"/>
      <c r="D50" s="59" t="s">
        <v>1643</v>
      </c>
      <c r="E50" s="37"/>
      <c r="F50" s="37" t="s">
        <v>1361</v>
      </c>
      <c r="G50" s="37"/>
      <c r="H50" s="37"/>
      <c r="I50" s="37"/>
      <c r="J50" s="76"/>
      <c r="K50" s="76"/>
    </row>
    <row r="51" spans="1:11">
      <c r="A51" s="56" t="s">
        <v>1644</v>
      </c>
      <c r="B51" s="37" t="s">
        <v>16</v>
      </c>
      <c r="C51" s="37"/>
      <c r="D51" s="59" t="s">
        <v>1645</v>
      </c>
      <c r="E51" s="37"/>
      <c r="F51" s="37" t="s">
        <v>1361</v>
      </c>
      <c r="G51" s="37"/>
      <c r="H51" s="37"/>
      <c r="I51" s="37"/>
      <c r="J51" s="76"/>
      <c r="K51" s="76"/>
    </row>
    <row r="52" spans="1:11">
      <c r="A52" s="56" t="s">
        <v>1646</v>
      </c>
      <c r="B52" s="37" t="s">
        <v>16</v>
      </c>
      <c r="C52" s="37"/>
      <c r="D52" s="59" t="s">
        <v>1647</v>
      </c>
      <c r="E52" s="37"/>
      <c r="F52" s="37" t="s">
        <v>1361</v>
      </c>
      <c r="G52" s="37"/>
      <c r="H52" s="37"/>
      <c r="I52" s="37"/>
      <c r="J52" s="76"/>
      <c r="K52" s="76"/>
    </row>
    <row r="53" spans="1:11">
      <c r="A53" s="56" t="s">
        <v>1648</v>
      </c>
      <c r="B53" s="37" t="s">
        <v>16</v>
      </c>
      <c r="C53" s="37"/>
      <c r="D53" s="59" t="s">
        <v>1649</v>
      </c>
      <c r="E53" s="37"/>
      <c r="F53" s="37" t="s">
        <v>1361</v>
      </c>
      <c r="G53" s="37"/>
      <c r="H53" s="37"/>
      <c r="I53" s="37"/>
      <c r="J53" s="76"/>
      <c r="K53" s="76"/>
    </row>
    <row r="54" spans="1:11">
      <c r="A54" s="56" t="s">
        <v>1650</v>
      </c>
      <c r="B54" s="37" t="s">
        <v>16</v>
      </c>
      <c r="C54" s="37"/>
      <c r="D54" s="59" t="s">
        <v>1651</v>
      </c>
      <c r="E54" s="37"/>
      <c r="F54" s="37" t="s">
        <v>1361</v>
      </c>
      <c r="G54" s="37"/>
      <c r="H54" s="37"/>
      <c r="I54" s="37"/>
      <c r="J54" s="76"/>
      <c r="K54" s="76"/>
    </row>
    <row r="55" spans="1:11">
      <c r="A55" s="56" t="s">
        <v>1652</v>
      </c>
      <c r="B55" s="37" t="s">
        <v>16</v>
      </c>
      <c r="C55" s="37"/>
      <c r="D55" s="59" t="s">
        <v>1653</v>
      </c>
      <c r="E55" s="37"/>
      <c r="F55" s="37" t="s">
        <v>1361</v>
      </c>
      <c r="G55" s="37"/>
      <c r="H55" s="37"/>
      <c r="I55" s="37"/>
      <c r="J55" s="76"/>
      <c r="K55" s="76"/>
    </row>
    <row r="56" spans="1:11">
      <c r="A56" s="56" t="s">
        <v>1654</v>
      </c>
      <c r="B56" s="37" t="s">
        <v>16</v>
      </c>
      <c r="C56" s="37"/>
      <c r="D56" s="59" t="s">
        <v>1655</v>
      </c>
      <c r="E56" s="37"/>
      <c r="F56" s="37" t="s">
        <v>1361</v>
      </c>
      <c r="G56" s="37"/>
      <c r="H56" s="37"/>
      <c r="I56" s="37"/>
      <c r="J56" s="76"/>
      <c r="K56" s="76"/>
    </row>
    <row r="57" spans="1:11">
      <c r="A57" s="56" t="s">
        <v>1656</v>
      </c>
      <c r="B57" s="37" t="s">
        <v>16</v>
      </c>
      <c r="C57" s="37"/>
      <c r="D57" s="59" t="s">
        <v>1657</v>
      </c>
      <c r="E57" s="37"/>
      <c r="F57" s="37" t="s">
        <v>1361</v>
      </c>
      <c r="G57" s="37"/>
      <c r="H57" s="37"/>
      <c r="I57" s="37"/>
      <c r="J57" s="76"/>
      <c r="K57" s="76"/>
    </row>
    <row r="58" spans="1:11">
      <c r="A58" s="56" t="s">
        <v>1658</v>
      </c>
      <c r="B58" s="37" t="s">
        <v>16</v>
      </c>
      <c r="C58" s="37"/>
      <c r="D58" s="59" t="s">
        <v>1659</v>
      </c>
      <c r="E58" s="37"/>
      <c r="F58" s="37" t="s">
        <v>1361</v>
      </c>
      <c r="G58" s="37"/>
      <c r="H58" s="37"/>
      <c r="I58" s="37"/>
      <c r="J58" s="76"/>
      <c r="K58" s="76"/>
    </row>
    <row r="59" spans="1:11">
      <c r="A59" s="56" t="s">
        <v>1660</v>
      </c>
      <c r="B59" s="37" t="s">
        <v>16</v>
      </c>
      <c r="C59" s="37"/>
      <c r="D59" s="59" t="s">
        <v>1661</v>
      </c>
      <c r="E59" s="37"/>
      <c r="F59" s="37" t="s">
        <v>1361</v>
      </c>
      <c r="G59" s="37"/>
      <c r="H59" s="37"/>
      <c r="I59" s="37"/>
      <c r="J59" s="76"/>
      <c r="K59" s="76"/>
    </row>
    <row r="60" spans="1:11">
      <c r="A60" s="56" t="s">
        <v>1662</v>
      </c>
      <c r="B60" s="37" t="s">
        <v>16</v>
      </c>
      <c r="C60" s="37"/>
      <c r="D60" s="59" t="s">
        <v>1663</v>
      </c>
      <c r="E60" s="37"/>
      <c r="F60" s="37" t="s">
        <v>1361</v>
      </c>
      <c r="G60" s="37"/>
      <c r="H60" s="37"/>
      <c r="I60" s="37"/>
      <c r="J60" s="76"/>
      <c r="K60" s="76"/>
    </row>
    <row r="61" spans="1:11">
      <c r="A61" s="56" t="s">
        <v>1664</v>
      </c>
      <c r="B61" s="37" t="s">
        <v>16</v>
      </c>
      <c r="C61" s="37"/>
      <c r="D61" s="59" t="s">
        <v>1665</v>
      </c>
      <c r="E61" s="37"/>
      <c r="F61" s="37" t="s">
        <v>1361</v>
      </c>
      <c r="G61" s="37"/>
      <c r="H61" s="37"/>
      <c r="I61" s="37"/>
      <c r="J61" s="76"/>
      <c r="K61" s="76"/>
    </row>
    <row r="62" spans="1:11">
      <c r="A62" s="56" t="s">
        <v>1666</v>
      </c>
      <c r="B62" s="37" t="s">
        <v>16</v>
      </c>
      <c r="C62" s="37"/>
      <c r="D62" s="59" t="s">
        <v>1667</v>
      </c>
      <c r="E62" s="37"/>
      <c r="F62" s="37" t="s">
        <v>1361</v>
      </c>
      <c r="G62" s="37"/>
      <c r="H62" s="37"/>
      <c r="I62" s="37"/>
      <c r="J62" s="76"/>
      <c r="K62" s="76"/>
    </row>
    <row r="63" spans="1:11">
      <c r="A63" s="56" t="s">
        <v>1668</v>
      </c>
      <c r="B63" s="37" t="s">
        <v>16</v>
      </c>
      <c r="C63" s="37"/>
      <c r="D63" s="59" t="s">
        <v>1669</v>
      </c>
      <c r="E63" s="37"/>
      <c r="F63" s="37" t="s">
        <v>1361</v>
      </c>
      <c r="G63" s="37"/>
      <c r="H63" s="37"/>
      <c r="I63" s="37"/>
      <c r="J63" s="76"/>
      <c r="K63" s="76"/>
    </row>
    <row r="64" spans="1:11">
      <c r="A64" s="56" t="s">
        <v>1670</v>
      </c>
      <c r="B64" s="37" t="s">
        <v>16</v>
      </c>
      <c r="C64" s="37"/>
      <c r="D64" s="59" t="s">
        <v>1671</v>
      </c>
      <c r="E64" s="37"/>
      <c r="F64" s="37" t="s">
        <v>1361</v>
      </c>
      <c r="G64" s="37"/>
      <c r="H64" s="37"/>
      <c r="I64" s="37"/>
      <c r="J64" s="76"/>
      <c r="K64" s="76"/>
    </row>
    <row r="65" spans="1:11">
      <c r="A65" s="56" t="s">
        <v>1672</v>
      </c>
      <c r="B65" s="37" t="s">
        <v>16</v>
      </c>
      <c r="C65" s="37"/>
      <c r="D65" s="59" t="s">
        <v>1673</v>
      </c>
      <c r="E65" s="37"/>
      <c r="F65" s="37" t="s">
        <v>1361</v>
      </c>
      <c r="G65" s="37"/>
      <c r="H65" s="37"/>
      <c r="I65" s="37"/>
      <c r="J65" s="76"/>
      <c r="K65" s="76"/>
    </row>
    <row r="66" spans="1:11">
      <c r="A66" s="56" t="s">
        <v>1674</v>
      </c>
      <c r="B66" s="37" t="s">
        <v>16</v>
      </c>
      <c r="C66" s="37"/>
      <c r="D66" s="59" t="s">
        <v>1675</v>
      </c>
      <c r="E66" s="37"/>
      <c r="F66" s="37" t="s">
        <v>1361</v>
      </c>
      <c r="G66" s="37"/>
      <c r="H66" s="37"/>
      <c r="I66" s="37"/>
      <c r="J66" s="76"/>
      <c r="K66" s="76"/>
    </row>
    <row r="67" spans="1:11">
      <c r="A67" s="56" t="s">
        <v>1676</v>
      </c>
      <c r="B67" s="37" t="s">
        <v>16</v>
      </c>
      <c r="C67" s="37"/>
      <c r="D67" s="59" t="s">
        <v>1677</v>
      </c>
      <c r="E67" s="37"/>
      <c r="F67" s="37" t="s">
        <v>1361</v>
      </c>
      <c r="G67" s="37"/>
      <c r="H67" s="37"/>
      <c r="I67" s="37"/>
      <c r="J67" s="76"/>
      <c r="K67" s="76"/>
    </row>
    <row r="68" spans="1:11">
      <c r="A68" s="56" t="s">
        <v>1678</v>
      </c>
      <c r="B68" s="37" t="s">
        <v>16</v>
      </c>
      <c r="C68" s="37"/>
      <c r="D68" s="59" t="s">
        <v>1679</v>
      </c>
      <c r="E68" s="37"/>
      <c r="F68" s="37" t="s">
        <v>1361</v>
      </c>
      <c r="G68" s="37"/>
      <c r="H68" s="37"/>
      <c r="I68" s="37"/>
      <c r="J68" s="76"/>
      <c r="K68" s="76"/>
    </row>
    <row r="69" spans="1:11">
      <c r="A69" s="56" t="s">
        <v>1680</v>
      </c>
      <c r="B69" s="37" t="s">
        <v>16</v>
      </c>
      <c r="C69" s="37"/>
      <c r="D69" s="59" t="s">
        <v>1681</v>
      </c>
      <c r="E69" s="37"/>
      <c r="F69" s="37" t="s">
        <v>1361</v>
      </c>
      <c r="G69" s="37"/>
      <c r="H69" s="37"/>
      <c r="I69" s="37"/>
      <c r="J69" s="76"/>
      <c r="K69" s="76"/>
    </row>
    <row r="70" spans="1:11">
      <c r="A70" s="56" t="s">
        <v>1682</v>
      </c>
      <c r="B70" s="37" t="s">
        <v>16</v>
      </c>
      <c r="C70" s="37"/>
      <c r="D70" s="59" t="s">
        <v>1683</v>
      </c>
      <c r="E70" s="37"/>
      <c r="F70" s="37" t="s">
        <v>1361</v>
      </c>
      <c r="G70" s="37"/>
      <c r="H70" s="37"/>
      <c r="I70" s="37"/>
      <c r="J70" s="76"/>
      <c r="K70" s="76"/>
    </row>
    <row r="71" spans="1:11">
      <c r="A71" s="56" t="s">
        <v>1684</v>
      </c>
      <c r="B71" s="37" t="s">
        <v>16</v>
      </c>
      <c r="C71" s="37"/>
      <c r="D71" s="59" t="s">
        <v>1685</v>
      </c>
      <c r="E71" s="37"/>
      <c r="F71" s="37" t="s">
        <v>1361</v>
      </c>
      <c r="G71" s="37"/>
      <c r="H71" s="37"/>
      <c r="I71" s="37"/>
      <c r="J71" s="76"/>
      <c r="K71" s="76"/>
    </row>
    <row r="72" spans="1:11">
      <c r="A72" s="56" t="s">
        <v>1686</v>
      </c>
      <c r="B72" s="37" t="s">
        <v>16</v>
      </c>
      <c r="C72" s="37"/>
      <c r="D72" s="59" t="s">
        <v>1687</v>
      </c>
      <c r="E72" s="37"/>
      <c r="F72" s="37" t="s">
        <v>1361</v>
      </c>
      <c r="G72" s="37"/>
      <c r="H72" s="37"/>
      <c r="I72" s="37"/>
      <c r="J72" s="76"/>
      <c r="K72" s="76"/>
    </row>
    <row r="73" spans="1:11">
      <c r="A73" s="56" t="s">
        <v>1688</v>
      </c>
      <c r="B73" s="37" t="s">
        <v>16</v>
      </c>
      <c r="C73" s="37"/>
      <c r="D73" s="59" t="s">
        <v>1689</v>
      </c>
      <c r="E73" s="37"/>
      <c r="F73" s="37" t="s">
        <v>1361</v>
      </c>
      <c r="G73" s="37"/>
      <c r="H73" s="37"/>
      <c r="I73" s="37"/>
      <c r="J73" s="76"/>
      <c r="K73" s="76"/>
    </row>
    <row r="74" spans="1:11">
      <c r="A74" s="56" t="s">
        <v>1690</v>
      </c>
      <c r="B74" s="37" t="s">
        <v>16</v>
      </c>
      <c r="C74" s="37"/>
      <c r="D74" s="59" t="s">
        <v>1691</v>
      </c>
      <c r="E74" s="37"/>
      <c r="F74" s="37" t="s">
        <v>1361</v>
      </c>
      <c r="G74" s="37"/>
      <c r="H74" s="37"/>
      <c r="I74" s="37"/>
      <c r="J74" s="76"/>
      <c r="K74" s="76"/>
    </row>
    <row r="75" spans="1:11">
      <c r="A75" s="56" t="s">
        <v>1692</v>
      </c>
      <c r="B75" s="37" t="s">
        <v>16</v>
      </c>
      <c r="C75" s="37"/>
      <c r="D75" s="59" t="s">
        <v>1693</v>
      </c>
      <c r="E75" s="37"/>
      <c r="F75" s="37" t="s">
        <v>1361</v>
      </c>
      <c r="G75" s="37"/>
      <c r="H75" s="37"/>
      <c r="I75" s="37"/>
      <c r="J75" s="76"/>
      <c r="K75" s="76"/>
    </row>
    <row r="76" spans="1:11">
      <c r="A76" s="56" t="s">
        <v>1694</v>
      </c>
      <c r="B76" s="37" t="s">
        <v>16</v>
      </c>
      <c r="C76" s="37"/>
      <c r="D76" s="59" t="s">
        <v>1695</v>
      </c>
      <c r="E76" s="37"/>
      <c r="F76" s="37" t="s">
        <v>1361</v>
      </c>
      <c r="G76" s="37"/>
      <c r="H76" s="37"/>
      <c r="I76" s="37"/>
      <c r="J76" s="76"/>
      <c r="K76" s="76"/>
    </row>
    <row r="77" spans="1:11">
      <c r="A77" s="56" t="s">
        <v>1696</v>
      </c>
      <c r="B77" s="37" t="s">
        <v>16</v>
      </c>
      <c r="C77" s="37"/>
      <c r="D77" s="59" t="s">
        <v>1697</v>
      </c>
      <c r="E77" s="37"/>
      <c r="F77" s="37" t="s">
        <v>1361</v>
      </c>
      <c r="G77" s="37"/>
      <c r="H77" s="37"/>
      <c r="I77" s="37"/>
      <c r="J77" s="76"/>
      <c r="K77" s="76"/>
    </row>
    <row r="78" spans="1:11">
      <c r="A78" s="56" t="s">
        <v>1698</v>
      </c>
      <c r="B78" s="37" t="s">
        <v>16</v>
      </c>
      <c r="C78" s="37"/>
      <c r="D78" s="59" t="s">
        <v>1537</v>
      </c>
      <c r="E78" s="37"/>
      <c r="F78" s="37" t="s">
        <v>1361</v>
      </c>
      <c r="G78" s="59"/>
      <c r="H78" s="37"/>
      <c r="I78" s="37"/>
      <c r="J78" s="76"/>
      <c r="K78" s="76"/>
    </row>
    <row r="79" spans="1:11">
      <c r="A79" s="56" t="s">
        <v>1699</v>
      </c>
      <c r="B79" s="37" t="s">
        <v>16</v>
      </c>
      <c r="C79" s="37"/>
      <c r="D79" s="59" t="s">
        <v>1700</v>
      </c>
      <c r="E79" s="37"/>
      <c r="F79" s="37" t="s">
        <v>1361</v>
      </c>
      <c r="G79" s="37"/>
      <c r="H79" s="37"/>
      <c r="I79" s="37"/>
      <c r="J79" s="76"/>
      <c r="K79" s="76"/>
    </row>
    <row r="80" spans="1:11" ht="28">
      <c r="A80" s="607" t="s">
        <v>1701</v>
      </c>
      <c r="B80" s="238" t="s">
        <v>16</v>
      </c>
      <c r="C80" s="238"/>
      <c r="D80" s="147" t="s">
        <v>1702</v>
      </c>
      <c r="E80" s="238"/>
      <c r="F80" s="238" t="s">
        <v>1361</v>
      </c>
      <c r="G80" s="238"/>
      <c r="H80" s="238"/>
      <c r="I80" s="238"/>
      <c r="J80" s="158"/>
      <c r="K80" s="158"/>
    </row>
    <row r="81" spans="1:11">
      <c r="A81" s="56" t="s">
        <v>1703</v>
      </c>
      <c r="B81" s="37" t="s">
        <v>16</v>
      </c>
      <c r="C81" s="37"/>
      <c r="D81" s="59" t="s">
        <v>1704</v>
      </c>
      <c r="E81" s="37"/>
      <c r="F81" s="37" t="s">
        <v>1361</v>
      </c>
      <c r="G81" s="37"/>
      <c r="H81" s="37"/>
      <c r="I81" s="37"/>
      <c r="J81" s="76"/>
      <c r="K81" s="76"/>
    </row>
    <row r="82" spans="1:11">
      <c r="A82" s="56" t="s">
        <v>1705</v>
      </c>
      <c r="B82" s="37" t="s">
        <v>16</v>
      </c>
      <c r="C82" s="37"/>
      <c r="D82" s="59" t="s">
        <v>1706</v>
      </c>
      <c r="E82" s="37"/>
      <c r="F82" s="37" t="s">
        <v>1361</v>
      </c>
      <c r="G82" s="37"/>
      <c r="H82" s="37"/>
      <c r="I82" s="37"/>
      <c r="J82" s="76"/>
      <c r="K82" s="76"/>
    </row>
    <row r="83" spans="1:11">
      <c r="A83" s="56" t="s">
        <v>1707</v>
      </c>
      <c r="B83" s="37" t="s">
        <v>16</v>
      </c>
      <c r="C83" s="37"/>
      <c r="D83" s="59" t="s">
        <v>1708</v>
      </c>
      <c r="E83" s="37"/>
      <c r="F83" s="37" t="s">
        <v>1361</v>
      </c>
      <c r="G83" s="37"/>
      <c r="H83" s="37"/>
      <c r="I83" s="37"/>
      <c r="J83" s="76"/>
      <c r="K83" s="76"/>
    </row>
    <row r="84" spans="1:11">
      <c r="A84" s="56" t="s">
        <v>1709</v>
      </c>
      <c r="B84" s="37" t="s">
        <v>16</v>
      </c>
      <c r="C84" s="37"/>
      <c r="D84" s="59" t="s">
        <v>1710</v>
      </c>
      <c r="E84" s="37"/>
      <c r="F84" s="37" t="s">
        <v>1361</v>
      </c>
      <c r="G84" s="37"/>
      <c r="H84" s="37"/>
      <c r="I84" s="37"/>
      <c r="J84" s="76"/>
      <c r="K84" s="76"/>
    </row>
    <row r="85" spans="1:11">
      <c r="A85" s="56" t="s">
        <v>1711</v>
      </c>
      <c r="B85" s="37" t="s">
        <v>16</v>
      </c>
      <c r="C85" s="37"/>
      <c r="D85" s="59" t="s">
        <v>1712</v>
      </c>
      <c r="E85" s="37"/>
      <c r="F85" s="37" t="s">
        <v>1361</v>
      </c>
      <c r="G85" s="59"/>
      <c r="H85" s="37"/>
      <c r="I85" s="37"/>
      <c r="J85" s="76"/>
      <c r="K85" s="76"/>
    </row>
    <row r="86" spans="1:11">
      <c r="A86" s="56" t="s">
        <v>1713</v>
      </c>
      <c r="B86" s="37" t="s">
        <v>16</v>
      </c>
      <c r="C86" s="37"/>
      <c r="D86" s="59" t="s">
        <v>1714</v>
      </c>
      <c r="E86" s="37"/>
      <c r="F86" s="37" t="s">
        <v>1361</v>
      </c>
      <c r="G86" s="37"/>
      <c r="H86" s="37"/>
      <c r="I86" s="37"/>
      <c r="J86" s="76"/>
      <c r="K86" s="76"/>
    </row>
    <row r="87" spans="1:11">
      <c r="A87" s="56" t="s">
        <v>1715</v>
      </c>
      <c r="B87" s="37" t="s">
        <v>16</v>
      </c>
      <c r="C87" s="37"/>
      <c r="D87" s="59" t="s">
        <v>1716</v>
      </c>
      <c r="E87" s="37"/>
      <c r="F87" s="37" t="s">
        <v>1361</v>
      </c>
      <c r="G87" s="37"/>
      <c r="H87" s="37"/>
      <c r="I87" s="37"/>
      <c r="J87" s="76"/>
      <c r="K87" s="76"/>
    </row>
    <row r="88" spans="1:11">
      <c r="A88" s="56" t="s">
        <v>1717</v>
      </c>
      <c r="B88" s="37" t="s">
        <v>16</v>
      </c>
      <c r="C88" s="37"/>
      <c r="D88" s="59" t="s">
        <v>1718</v>
      </c>
      <c r="E88" s="37"/>
      <c r="F88" s="37" t="s">
        <v>1361</v>
      </c>
      <c r="G88" s="37"/>
      <c r="H88" s="37"/>
      <c r="I88" s="37"/>
      <c r="J88" s="76"/>
      <c r="K88" s="76"/>
    </row>
    <row r="89" spans="1:11">
      <c r="A89" s="56" t="s">
        <v>1719</v>
      </c>
      <c r="B89" s="37" t="s">
        <v>16</v>
      </c>
      <c r="C89" s="37"/>
      <c r="D89" s="59" t="s">
        <v>1720</v>
      </c>
      <c r="E89" s="37"/>
      <c r="F89" s="37" t="s">
        <v>1361</v>
      </c>
      <c r="G89" s="59"/>
      <c r="H89" s="37"/>
      <c r="I89" s="37"/>
      <c r="J89" s="76"/>
      <c r="K89" s="76"/>
    </row>
    <row r="90" spans="1:11">
      <c r="A90" s="56" t="s">
        <v>1721</v>
      </c>
      <c r="B90" s="37" t="s">
        <v>16</v>
      </c>
      <c r="C90" s="37"/>
      <c r="D90" s="59" t="s">
        <v>1722</v>
      </c>
      <c r="E90" s="37"/>
      <c r="F90" s="37" t="s">
        <v>1361</v>
      </c>
      <c r="G90" s="59"/>
      <c r="H90" s="37"/>
      <c r="I90" s="37"/>
      <c r="J90" s="76"/>
      <c r="K90" s="76"/>
    </row>
    <row r="91" spans="1:11">
      <c r="A91" s="56" t="s">
        <v>1723</v>
      </c>
      <c r="B91" s="37" t="s">
        <v>16</v>
      </c>
      <c r="C91" s="37"/>
      <c r="D91" s="59" t="s">
        <v>1724</v>
      </c>
      <c r="E91" s="37"/>
      <c r="F91" s="37" t="s">
        <v>1361</v>
      </c>
      <c r="G91" s="59"/>
      <c r="H91" s="37"/>
      <c r="I91" s="37"/>
      <c r="J91" s="76"/>
      <c r="K91" s="76"/>
    </row>
    <row r="92" spans="1:11">
      <c r="A92" s="628"/>
      <c r="G92" s="213"/>
      <c r="H92" s="213"/>
      <c r="I92" s="213"/>
      <c r="J92" s="586"/>
      <c r="K92" s="586"/>
    </row>
  </sheetData>
  <mergeCells count="10">
    <mergeCell ref="G1:G2"/>
    <mergeCell ref="H1:H2"/>
    <mergeCell ref="I1:I2"/>
    <mergeCell ref="A1:A2"/>
    <mergeCell ref="J1:K1"/>
    <mergeCell ref="C1:C2"/>
    <mergeCell ref="B1:B2"/>
    <mergeCell ref="D1:D2"/>
    <mergeCell ref="E1:E2"/>
    <mergeCell ref="F1:F2"/>
  </mergeCells>
  <phoneticPr fontId="106" type="noConversion"/>
  <dataValidations count="6">
    <dataValidation type="list" allowBlank="1" showInputMessage="1" showErrorMessage="1" sqref="E1:F1048576" xr:uid="{00000000-0002-0000-0C00-000000000000}">
      <formula1>"SKIPPED,合成FPGA PASS,合成FPGA FAIL,合成Palladium PASS,合成Palladium FAIL,FPGA NOT RUN,"</formula1>
    </dataValidation>
    <dataValidation type="list" allowBlank="1" showInputMessage="1" showErrorMessage="1" sqref="K3:K91 J1 J3:J1048576" xr:uid="{00000000-0002-0000-0C00-000002000000}">
      <formula1>"NT,PASS,FAIL,BLOCK,SKIPPED,"</formula1>
    </dataValidation>
    <dataValidation type="list" allowBlank="1" showInputMessage="1" showErrorMessage="1" sqref="C1:D1048576" xr:uid="{00000000-0002-0000-0C00-000003000000}">
      <formula1>"SKIPPED,基础FPGA PASS,基础FPGA FAIL,基础Palladium PASS,基础Palladium FAIL,"</formula1>
    </dataValidation>
    <dataValidation type="list" showInputMessage="1" showErrorMessage="1" sqref="B3:B92" xr:uid="{00000000-0002-0000-0C00-000005000000}">
      <formula1>"Case Type,Basicfunction,"</formula1>
    </dataValidation>
    <dataValidation type="list" showInputMessage="1" showErrorMessage="1" sqref="G18" xr:uid="{00000000-0002-0000-0C00-000006000000}">
      <formula1>"SKIPPED,合成FPGA PASS,合成FPGA FAIL,合成Palladium PASS,合成Palladium FAIL,FPGA NOT RUN,"</formula1>
    </dataValidation>
    <dataValidation type="list" allowBlank="1" showInputMessage="1" showErrorMessage="1" sqref="K92" xr:uid="{00000000-0002-0000-0C00-000008000000}">
      <formula1>"NT,PASS,FAIL,BLOCK,"</formula1>
    </dataValidation>
  </dataValidation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PCIECV_DSP"/>
  <dimension ref="A1:K91"/>
  <sheetViews>
    <sheetView tabSelected="1" workbookViewId="0">
      <pane ySplit="2" topLeftCell="A54" activePane="bottomLeft" state="frozen"/>
      <selection pane="bottomLeft" activeCell="J1" sqref="J1:K2"/>
    </sheetView>
  </sheetViews>
  <sheetFormatPr defaultRowHeight="14"/>
  <cols>
    <col min="1" max="1" width="27.08984375" style="35" customWidth="1"/>
    <col min="2" max="2" width="13.6328125" style="35" customWidth="1"/>
    <col min="3" max="3" width="9" style="35" customWidth="1"/>
    <col min="4" max="4" width="68.08984375" style="35" customWidth="1"/>
    <col min="5" max="5" width="11.7265625" style="35" customWidth="1"/>
    <col min="6" max="6" width="14.26953125" style="35" customWidth="1"/>
    <col min="7" max="7" width="18.81640625" style="35" customWidth="1"/>
    <col min="8" max="8" width="13.36328125" style="35" customWidth="1"/>
    <col min="9" max="9" width="13.7265625" style="35" customWidth="1"/>
    <col min="10" max="11" width="13.6328125" style="35" customWidth="1"/>
  </cols>
  <sheetData>
    <row r="1" spans="1:11" ht="33" customHeight="1">
      <c r="A1" s="1031" t="s">
        <v>0</v>
      </c>
      <c r="B1" s="1031" t="s">
        <v>2</v>
      </c>
      <c r="C1" s="1031" t="s">
        <v>1</v>
      </c>
      <c r="D1" s="1031" t="s">
        <v>3</v>
      </c>
      <c r="E1" s="1032" t="s">
        <v>4</v>
      </c>
      <c r="F1" s="1032" t="s">
        <v>5</v>
      </c>
      <c r="G1" s="1032" t="s">
        <v>6</v>
      </c>
      <c r="H1" s="1032" t="s">
        <v>7</v>
      </c>
      <c r="I1" s="1032" t="s">
        <v>8</v>
      </c>
      <c r="J1" s="1015" t="s">
        <v>9</v>
      </c>
      <c r="K1" s="1033"/>
    </row>
    <row r="2" spans="1:11">
      <c r="A2" s="987"/>
      <c r="B2" s="987"/>
      <c r="C2" s="993"/>
      <c r="D2" s="987"/>
      <c r="E2" s="1034"/>
      <c r="F2" s="987"/>
      <c r="G2" s="987"/>
      <c r="H2" s="987"/>
      <c r="I2" s="987"/>
      <c r="J2" s="3" t="s">
        <v>3270</v>
      </c>
      <c r="K2" s="602" t="s">
        <v>3271</v>
      </c>
    </row>
    <row r="3" spans="1:11">
      <c r="A3" s="56" t="s">
        <v>1359</v>
      </c>
      <c r="B3" s="37" t="s">
        <v>16</v>
      </c>
      <c r="C3" s="212"/>
      <c r="D3" s="59" t="s">
        <v>1360</v>
      </c>
      <c r="E3" s="473"/>
      <c r="F3" s="37" t="s">
        <v>1361</v>
      </c>
      <c r="G3" s="37"/>
      <c r="H3" s="37"/>
      <c r="I3" s="37"/>
      <c r="J3" s="76"/>
      <c r="K3" s="76"/>
    </row>
    <row r="4" spans="1:11">
      <c r="A4" s="56" t="s">
        <v>1362</v>
      </c>
      <c r="B4" s="37" t="s">
        <v>16</v>
      </c>
      <c r="C4" s="212"/>
      <c r="D4" s="59" t="s">
        <v>1363</v>
      </c>
      <c r="E4" s="473"/>
      <c r="F4" s="37" t="s">
        <v>1361</v>
      </c>
      <c r="G4" s="37"/>
      <c r="H4" s="37"/>
      <c r="I4" s="37"/>
      <c r="J4" s="76"/>
      <c r="K4" s="76"/>
    </row>
    <row r="5" spans="1:11">
      <c r="A5" s="56" t="s">
        <v>1364</v>
      </c>
      <c r="B5" s="37" t="s">
        <v>16</v>
      </c>
      <c r="C5" s="212"/>
      <c r="D5" s="59" t="s">
        <v>1365</v>
      </c>
      <c r="E5" s="473"/>
      <c r="F5" s="37" t="s">
        <v>1361</v>
      </c>
      <c r="G5" s="59"/>
      <c r="H5" s="37"/>
      <c r="I5" s="37"/>
      <c r="J5" s="76"/>
      <c r="K5" s="76"/>
    </row>
    <row r="6" spans="1:11">
      <c r="A6" s="56" t="s">
        <v>1366</v>
      </c>
      <c r="B6" s="37" t="s">
        <v>16</v>
      </c>
      <c r="C6" s="212"/>
      <c r="D6" s="59" t="s">
        <v>1367</v>
      </c>
      <c r="E6" s="473"/>
      <c r="F6" s="37" t="s">
        <v>1361</v>
      </c>
      <c r="G6" s="37"/>
      <c r="H6" s="37"/>
      <c r="I6" s="37"/>
      <c r="J6" s="76"/>
      <c r="K6" s="76"/>
    </row>
    <row r="7" spans="1:11">
      <c r="A7" s="56" t="s">
        <v>1368</v>
      </c>
      <c r="B7" s="37" t="s">
        <v>16</v>
      </c>
      <c r="C7" s="212"/>
      <c r="D7" s="59" t="s">
        <v>1369</v>
      </c>
      <c r="E7" s="473"/>
      <c r="F7" s="37" t="s">
        <v>1361</v>
      </c>
      <c r="G7" s="37"/>
      <c r="H7" s="37"/>
      <c r="I7" s="37"/>
      <c r="J7" s="76"/>
      <c r="K7" s="76"/>
    </row>
    <row r="8" spans="1:11">
      <c r="A8" s="56" t="s">
        <v>1370</v>
      </c>
      <c r="B8" s="37" t="s">
        <v>16</v>
      </c>
      <c r="C8" s="212"/>
      <c r="D8" s="59" t="s">
        <v>1371</v>
      </c>
      <c r="E8" s="473"/>
      <c r="F8" s="37" t="s">
        <v>1361</v>
      </c>
      <c r="G8" s="59"/>
      <c r="H8" s="59"/>
      <c r="I8" s="37"/>
      <c r="J8" s="76"/>
      <c r="K8" s="76"/>
    </row>
    <row r="9" spans="1:11">
      <c r="A9" s="56" t="s">
        <v>1372</v>
      </c>
      <c r="B9" s="37" t="s">
        <v>16</v>
      </c>
      <c r="C9" s="212"/>
      <c r="D9" s="59" t="s">
        <v>1373</v>
      </c>
      <c r="E9" s="473"/>
      <c r="F9" s="37" t="s">
        <v>1361</v>
      </c>
      <c r="G9" s="59"/>
      <c r="H9" s="37"/>
      <c r="I9" s="37"/>
      <c r="J9" s="76"/>
      <c r="K9" s="76"/>
    </row>
    <row r="10" spans="1:11">
      <c r="A10" s="56" t="s">
        <v>1374</v>
      </c>
      <c r="B10" s="37" t="s">
        <v>16</v>
      </c>
      <c r="C10" s="212"/>
      <c r="D10" s="59" t="s">
        <v>1375</v>
      </c>
      <c r="E10" s="473"/>
      <c r="F10" s="37" t="s">
        <v>1361</v>
      </c>
      <c r="G10" s="37"/>
      <c r="H10" s="37"/>
      <c r="I10" s="37"/>
      <c r="J10" s="76"/>
      <c r="K10" s="76"/>
    </row>
    <row r="11" spans="1:11">
      <c r="A11" s="56" t="s">
        <v>1376</v>
      </c>
      <c r="B11" s="37" t="s">
        <v>16</v>
      </c>
      <c r="C11" s="212"/>
      <c r="D11" s="59" t="s">
        <v>1377</v>
      </c>
      <c r="E11" s="473"/>
      <c r="F11" s="37" t="s">
        <v>1361</v>
      </c>
      <c r="G11" s="37"/>
      <c r="H11" s="37"/>
      <c r="I11" s="37"/>
      <c r="J11" s="76"/>
      <c r="K11" s="76"/>
    </row>
    <row r="12" spans="1:11">
      <c r="A12" s="56" t="s">
        <v>1378</v>
      </c>
      <c r="B12" s="37" t="s">
        <v>16</v>
      </c>
      <c r="C12" s="212"/>
      <c r="D12" s="59" t="s">
        <v>1379</v>
      </c>
      <c r="E12" s="473"/>
      <c r="F12" s="37" t="s">
        <v>1361</v>
      </c>
      <c r="G12" s="37"/>
      <c r="H12" s="37"/>
      <c r="I12" s="37"/>
      <c r="J12" s="76"/>
      <c r="K12" s="76"/>
    </row>
    <row r="13" spans="1:11">
      <c r="A13" s="56" t="s">
        <v>1380</v>
      </c>
      <c r="B13" s="37" t="s">
        <v>16</v>
      </c>
      <c r="C13" s="212"/>
      <c r="D13" s="59" t="s">
        <v>1381</v>
      </c>
      <c r="E13" s="473"/>
      <c r="F13" s="37" t="s">
        <v>1361</v>
      </c>
      <c r="G13" s="37"/>
      <c r="H13" s="37"/>
      <c r="I13" s="37"/>
      <c r="J13" s="76"/>
      <c r="K13" s="76"/>
    </row>
    <row r="14" spans="1:11">
      <c r="A14" s="56" t="s">
        <v>1382</v>
      </c>
      <c r="B14" s="37" t="s">
        <v>16</v>
      </c>
      <c r="C14" s="212"/>
      <c r="D14" s="59" t="s">
        <v>1383</v>
      </c>
      <c r="E14" s="473"/>
      <c r="F14" s="37" t="s">
        <v>1361</v>
      </c>
      <c r="G14" s="83"/>
      <c r="H14" s="37"/>
      <c r="I14" s="37"/>
      <c r="J14" s="76"/>
      <c r="K14" s="76"/>
    </row>
    <row r="15" spans="1:11">
      <c r="A15" s="56" t="s">
        <v>1384</v>
      </c>
      <c r="B15" s="37" t="s">
        <v>16</v>
      </c>
      <c r="C15" s="212"/>
      <c r="D15" s="59" t="s">
        <v>1385</v>
      </c>
      <c r="E15" s="473"/>
      <c r="F15" s="37" t="s">
        <v>1361</v>
      </c>
      <c r="G15" s="37"/>
      <c r="H15" s="37"/>
      <c r="I15" s="37"/>
      <c r="J15" s="76"/>
      <c r="K15" s="76"/>
    </row>
    <row r="16" spans="1:11">
      <c r="A16" s="56" t="s">
        <v>1386</v>
      </c>
      <c r="B16" s="37" t="s">
        <v>16</v>
      </c>
      <c r="C16" s="212"/>
      <c r="D16" s="59" t="s">
        <v>1387</v>
      </c>
      <c r="E16" s="473"/>
      <c r="F16" s="37" t="s">
        <v>1361</v>
      </c>
      <c r="G16" s="80"/>
      <c r="H16" s="37"/>
      <c r="I16" s="37"/>
      <c r="J16" s="76"/>
      <c r="K16" s="76"/>
    </row>
    <row r="17" spans="1:11">
      <c r="A17" s="56" t="s">
        <v>1388</v>
      </c>
      <c r="B17" s="37" t="s">
        <v>16</v>
      </c>
      <c r="C17" s="212"/>
      <c r="D17" s="59" t="s">
        <v>1389</v>
      </c>
      <c r="E17" s="473"/>
      <c r="F17" s="37" t="s">
        <v>1361</v>
      </c>
      <c r="G17" s="80"/>
      <c r="H17" s="37"/>
      <c r="I17" s="37"/>
      <c r="J17" s="76"/>
      <c r="K17" s="76"/>
    </row>
    <row r="18" spans="1:11">
      <c r="A18" s="56" t="s">
        <v>1390</v>
      </c>
      <c r="B18" s="37" t="s">
        <v>16</v>
      </c>
      <c r="C18" s="212"/>
      <c r="D18" s="59" t="s">
        <v>1391</v>
      </c>
      <c r="E18" s="473"/>
      <c r="F18" s="37" t="s">
        <v>1361</v>
      </c>
      <c r="G18" s="37"/>
      <c r="H18" s="37"/>
      <c r="I18" s="37"/>
      <c r="J18" s="76"/>
      <c r="K18" s="76"/>
    </row>
    <row r="19" spans="1:11">
      <c r="A19" s="56" t="s">
        <v>1392</v>
      </c>
      <c r="B19" s="37" t="s">
        <v>16</v>
      </c>
      <c r="C19" s="212"/>
      <c r="D19" s="59" t="s">
        <v>1393</v>
      </c>
      <c r="E19" s="473"/>
      <c r="F19" s="37" t="s">
        <v>1361</v>
      </c>
      <c r="G19" s="37"/>
      <c r="H19" s="37"/>
      <c r="I19" s="37"/>
      <c r="J19" s="76"/>
      <c r="K19" s="76"/>
    </row>
    <row r="20" spans="1:11">
      <c r="A20" s="56" t="s">
        <v>1394</v>
      </c>
      <c r="B20" s="37" t="s">
        <v>16</v>
      </c>
      <c r="C20" s="212"/>
      <c r="D20" s="59" t="s">
        <v>1395</v>
      </c>
      <c r="E20" s="473"/>
      <c r="F20" s="37" t="s">
        <v>1361</v>
      </c>
      <c r="G20" s="37"/>
      <c r="H20" s="37"/>
      <c r="I20" s="37"/>
      <c r="J20" s="76"/>
      <c r="K20" s="76"/>
    </row>
    <row r="21" spans="1:11">
      <c r="A21" s="56" t="s">
        <v>1396</v>
      </c>
      <c r="B21" s="37" t="s">
        <v>16</v>
      </c>
      <c r="C21" s="212"/>
      <c r="D21" s="59" t="s">
        <v>1397</v>
      </c>
      <c r="E21" s="473"/>
      <c r="F21" s="37" t="s">
        <v>1361</v>
      </c>
      <c r="G21" s="37"/>
      <c r="H21" s="37"/>
      <c r="I21" s="37"/>
      <c r="J21" s="76"/>
      <c r="K21" s="76"/>
    </row>
    <row r="22" spans="1:11" ht="18.75" customHeight="1">
      <c r="A22" s="56" t="s">
        <v>1398</v>
      </c>
      <c r="B22" s="37" t="s">
        <v>16</v>
      </c>
      <c r="C22" s="212"/>
      <c r="D22" s="59" t="s">
        <v>1399</v>
      </c>
      <c r="E22" s="473"/>
      <c r="F22" s="37" t="s">
        <v>1361</v>
      </c>
      <c r="G22" s="59"/>
      <c r="H22" s="37"/>
      <c r="I22" s="37"/>
      <c r="J22" s="76"/>
      <c r="K22" s="76"/>
    </row>
    <row r="23" spans="1:11">
      <c r="A23" s="56" t="s">
        <v>1400</v>
      </c>
      <c r="B23" s="37" t="s">
        <v>16</v>
      </c>
      <c r="C23" s="212"/>
      <c r="D23" s="59" t="s">
        <v>1401</v>
      </c>
      <c r="E23" s="473"/>
      <c r="F23" s="37" t="s">
        <v>1361</v>
      </c>
      <c r="G23" s="37"/>
      <c r="H23" s="37"/>
      <c r="I23" s="37"/>
      <c r="J23" s="76"/>
      <c r="K23" s="76"/>
    </row>
    <row r="24" spans="1:11">
      <c r="A24" s="56" t="s">
        <v>1402</v>
      </c>
      <c r="B24" s="37" t="s">
        <v>16</v>
      </c>
      <c r="C24" s="212"/>
      <c r="D24" s="59" t="s">
        <v>1403</v>
      </c>
      <c r="E24" s="473"/>
      <c r="F24" s="37" t="s">
        <v>1361</v>
      </c>
      <c r="G24" s="80"/>
      <c r="H24" s="37"/>
      <c r="I24" s="37"/>
      <c r="J24" s="76"/>
      <c r="K24" s="76"/>
    </row>
    <row r="25" spans="1:11">
      <c r="A25" s="56" t="s">
        <v>1404</v>
      </c>
      <c r="B25" s="37" t="s">
        <v>16</v>
      </c>
      <c r="C25" s="212"/>
      <c r="D25" s="59" t="s">
        <v>1405</v>
      </c>
      <c r="E25" s="473"/>
      <c r="F25" s="37" t="s">
        <v>1361</v>
      </c>
      <c r="G25" s="37"/>
      <c r="H25" s="37"/>
      <c r="I25" s="37"/>
      <c r="J25" s="76"/>
      <c r="K25" s="76"/>
    </row>
    <row r="26" spans="1:11">
      <c r="A26" s="56" t="s">
        <v>1406</v>
      </c>
      <c r="B26" s="37" t="s">
        <v>16</v>
      </c>
      <c r="C26" s="212"/>
      <c r="D26" s="59" t="s">
        <v>1407</v>
      </c>
      <c r="E26" s="473"/>
      <c r="F26" s="37" t="s">
        <v>1361</v>
      </c>
      <c r="G26" s="80"/>
      <c r="H26" s="37"/>
      <c r="I26" s="37"/>
      <c r="J26" s="76"/>
      <c r="K26" s="76"/>
    </row>
    <row r="27" spans="1:11">
      <c r="A27" s="56" t="s">
        <v>1408</v>
      </c>
      <c r="B27" s="37" t="s">
        <v>16</v>
      </c>
      <c r="C27" s="212"/>
      <c r="D27" s="59" t="s">
        <v>1409</v>
      </c>
      <c r="E27" s="473"/>
      <c r="F27" s="37" t="s">
        <v>1361</v>
      </c>
      <c r="G27" s="37"/>
      <c r="H27" s="37"/>
      <c r="I27" s="37"/>
      <c r="J27" s="76"/>
      <c r="K27" s="76"/>
    </row>
    <row r="28" spans="1:11">
      <c r="A28" s="56" t="s">
        <v>1410</v>
      </c>
      <c r="B28" s="37" t="s">
        <v>16</v>
      </c>
      <c r="C28" s="212"/>
      <c r="D28" s="59" t="s">
        <v>1411</v>
      </c>
      <c r="E28" s="473"/>
      <c r="F28" s="37" t="s">
        <v>1361</v>
      </c>
      <c r="G28" s="80"/>
      <c r="H28" s="37"/>
      <c r="I28" s="37"/>
      <c r="J28" s="76"/>
      <c r="K28" s="76"/>
    </row>
    <row r="29" spans="1:11">
      <c r="A29" s="56" t="s">
        <v>1412</v>
      </c>
      <c r="B29" s="37" t="s">
        <v>16</v>
      </c>
      <c r="C29" s="212"/>
      <c r="D29" s="59" t="s">
        <v>1413</v>
      </c>
      <c r="E29" s="473"/>
      <c r="F29" s="37" t="s">
        <v>1361</v>
      </c>
      <c r="G29" s="37"/>
      <c r="H29" s="37"/>
      <c r="I29" s="37"/>
      <c r="J29" s="76"/>
      <c r="K29" s="198"/>
    </row>
    <row r="30" spans="1:11">
      <c r="A30" s="56" t="s">
        <v>1414</v>
      </c>
      <c r="B30" s="37" t="s">
        <v>16</v>
      </c>
      <c r="C30" s="212"/>
      <c r="D30" s="59" t="s">
        <v>1415</v>
      </c>
      <c r="E30" s="473"/>
      <c r="F30" s="37" t="s">
        <v>1361</v>
      </c>
      <c r="G30" s="37"/>
      <c r="H30" s="37"/>
      <c r="I30" s="37"/>
      <c r="J30" s="76"/>
      <c r="K30" s="198"/>
    </row>
    <row r="31" spans="1:11" ht="28">
      <c r="A31" s="56" t="s">
        <v>1416</v>
      </c>
      <c r="B31" s="37" t="s">
        <v>16</v>
      </c>
      <c r="C31" s="212"/>
      <c r="D31" s="59" t="s">
        <v>1417</v>
      </c>
      <c r="E31" s="473"/>
      <c r="F31" s="37" t="s">
        <v>1361</v>
      </c>
      <c r="G31" s="37"/>
      <c r="H31" s="37"/>
      <c r="I31" s="37"/>
      <c r="J31" s="76"/>
      <c r="K31" s="198"/>
    </row>
    <row r="32" spans="1:11">
      <c r="A32" s="56" t="s">
        <v>1418</v>
      </c>
      <c r="B32" s="37" t="s">
        <v>16</v>
      </c>
      <c r="C32" s="212"/>
      <c r="D32" s="59" t="s">
        <v>1419</v>
      </c>
      <c r="E32" s="473"/>
      <c r="F32" s="37" t="s">
        <v>1361</v>
      </c>
      <c r="G32" s="37"/>
      <c r="H32" s="37"/>
      <c r="I32" s="37"/>
      <c r="J32" s="76"/>
      <c r="K32" s="198"/>
    </row>
    <row r="33" spans="1:11" ht="28">
      <c r="A33" s="56" t="s">
        <v>1420</v>
      </c>
      <c r="B33" s="37" t="s">
        <v>16</v>
      </c>
      <c r="C33" s="212"/>
      <c r="D33" s="59" t="s">
        <v>1421</v>
      </c>
      <c r="E33" s="473"/>
      <c r="F33" s="37" t="s">
        <v>1361</v>
      </c>
      <c r="G33" s="59"/>
      <c r="H33" s="37"/>
      <c r="I33" s="37"/>
      <c r="J33" s="76"/>
      <c r="K33" s="198"/>
    </row>
    <row r="34" spans="1:11">
      <c r="A34" s="56" t="s">
        <v>1422</v>
      </c>
      <c r="B34" s="37" t="s">
        <v>16</v>
      </c>
      <c r="C34" s="212"/>
      <c r="D34" s="59" t="s">
        <v>1423</v>
      </c>
      <c r="E34" s="473"/>
      <c r="F34" s="37" t="s">
        <v>1361</v>
      </c>
      <c r="G34" s="37"/>
      <c r="H34" s="37"/>
      <c r="I34" s="37"/>
      <c r="J34" s="76"/>
      <c r="K34" s="198"/>
    </row>
    <row r="35" spans="1:11">
      <c r="A35" s="607" t="s">
        <v>1424</v>
      </c>
      <c r="B35" s="238" t="s">
        <v>16</v>
      </c>
      <c r="C35" s="284"/>
      <c r="D35" s="147" t="s">
        <v>1425</v>
      </c>
      <c r="E35" s="480"/>
      <c r="F35" s="238" t="s">
        <v>1361</v>
      </c>
      <c r="G35" s="238"/>
      <c r="H35" s="238"/>
      <c r="I35" s="238"/>
      <c r="J35" s="76"/>
      <c r="K35" s="198"/>
    </row>
    <row r="36" spans="1:11">
      <c r="A36" s="56" t="s">
        <v>1426</v>
      </c>
      <c r="B36" s="37" t="s">
        <v>16</v>
      </c>
      <c r="C36" s="212"/>
      <c r="D36" s="59" t="s">
        <v>1427</v>
      </c>
      <c r="E36" s="473"/>
      <c r="F36" s="37" t="s">
        <v>1361</v>
      </c>
      <c r="G36" s="37"/>
      <c r="H36" s="37"/>
      <c r="I36" s="37"/>
      <c r="J36" s="76"/>
      <c r="K36" s="198"/>
    </row>
    <row r="37" spans="1:11">
      <c r="A37" s="56" t="s">
        <v>1428</v>
      </c>
      <c r="B37" s="37" t="s">
        <v>16</v>
      </c>
      <c r="C37" s="212"/>
      <c r="D37" s="59" t="s">
        <v>1429</v>
      </c>
      <c r="E37" s="473"/>
      <c r="F37" s="37" t="s">
        <v>1361</v>
      </c>
      <c r="G37" s="37"/>
      <c r="H37" s="37"/>
      <c r="I37" s="37"/>
      <c r="J37" s="76"/>
      <c r="K37" s="198"/>
    </row>
    <row r="38" spans="1:11">
      <c r="A38" s="607" t="s">
        <v>1430</v>
      </c>
      <c r="B38" s="238" t="s">
        <v>16</v>
      </c>
      <c r="C38" s="284"/>
      <c r="D38" s="147" t="s">
        <v>1431</v>
      </c>
      <c r="E38" s="480"/>
      <c r="F38" s="238" t="s">
        <v>1361</v>
      </c>
      <c r="G38" s="147"/>
      <c r="H38" s="238"/>
      <c r="I38" s="238"/>
      <c r="J38" s="76"/>
      <c r="K38" s="198"/>
    </row>
    <row r="39" spans="1:11">
      <c r="A39" s="607" t="s">
        <v>1432</v>
      </c>
      <c r="B39" s="238" t="s">
        <v>16</v>
      </c>
      <c r="C39" s="284"/>
      <c r="D39" s="147" t="s">
        <v>1433</v>
      </c>
      <c r="E39" s="480"/>
      <c r="F39" s="238" t="s">
        <v>1361</v>
      </c>
      <c r="G39" s="238"/>
      <c r="H39" s="238"/>
      <c r="I39" s="238"/>
      <c r="J39" s="76"/>
      <c r="K39" s="76"/>
    </row>
    <row r="40" spans="1:11">
      <c r="A40" s="607" t="s">
        <v>1434</v>
      </c>
      <c r="B40" s="238" t="s">
        <v>16</v>
      </c>
      <c r="C40" s="284"/>
      <c r="D40" s="147" t="s">
        <v>1435</v>
      </c>
      <c r="E40" s="480"/>
      <c r="F40" s="238" t="s">
        <v>1361</v>
      </c>
      <c r="G40" s="147"/>
      <c r="H40" s="238"/>
      <c r="I40" s="238"/>
      <c r="J40" s="76"/>
      <c r="K40" s="76"/>
    </row>
    <row r="41" spans="1:11">
      <c r="A41" s="56" t="s">
        <v>1436</v>
      </c>
      <c r="B41" s="37" t="s">
        <v>16</v>
      </c>
      <c r="C41" s="212"/>
      <c r="D41" s="59" t="s">
        <v>1437</v>
      </c>
      <c r="E41" s="473"/>
      <c r="F41" s="37" t="s">
        <v>1361</v>
      </c>
      <c r="G41" s="37"/>
      <c r="H41" s="37"/>
      <c r="I41" s="37"/>
      <c r="J41" s="76"/>
      <c r="K41" s="76"/>
    </row>
    <row r="42" spans="1:11" ht="28">
      <c r="A42" s="56" t="s">
        <v>1438</v>
      </c>
      <c r="B42" s="37" t="s">
        <v>16</v>
      </c>
      <c r="C42" s="212"/>
      <c r="D42" s="59" t="s">
        <v>1439</v>
      </c>
      <c r="E42" s="473"/>
      <c r="F42" s="37" t="s">
        <v>1361</v>
      </c>
      <c r="G42" s="37"/>
      <c r="H42" s="37"/>
      <c r="I42" s="37"/>
      <c r="J42" s="76"/>
      <c r="K42" s="76"/>
    </row>
    <row r="43" spans="1:11">
      <c r="A43" s="56" t="s">
        <v>1440</v>
      </c>
      <c r="B43" s="37" t="s">
        <v>16</v>
      </c>
      <c r="C43" s="212"/>
      <c r="D43" s="59" t="s">
        <v>1441</v>
      </c>
      <c r="E43" s="473"/>
      <c r="F43" s="37" t="s">
        <v>1361</v>
      </c>
      <c r="G43" s="37"/>
      <c r="H43" s="37"/>
      <c r="I43" s="37"/>
      <c r="J43" s="76"/>
      <c r="K43" s="76"/>
    </row>
    <row r="44" spans="1:11">
      <c r="A44" s="56" t="s">
        <v>1442</v>
      </c>
      <c r="B44" s="37" t="s">
        <v>16</v>
      </c>
      <c r="C44" s="212"/>
      <c r="D44" s="59" t="s">
        <v>1443</v>
      </c>
      <c r="E44" s="473"/>
      <c r="F44" s="37" t="s">
        <v>1361</v>
      </c>
      <c r="G44" s="37"/>
      <c r="H44" s="37"/>
      <c r="I44" s="37"/>
      <c r="J44" s="76"/>
      <c r="K44" s="76"/>
    </row>
    <row r="45" spans="1:11">
      <c r="A45" s="56" t="s">
        <v>1444</v>
      </c>
      <c r="B45" s="37" t="s">
        <v>16</v>
      </c>
      <c r="C45" s="212"/>
      <c r="D45" s="59" t="s">
        <v>1445</v>
      </c>
      <c r="E45" s="473"/>
      <c r="F45" s="37" t="s">
        <v>1361</v>
      </c>
      <c r="G45" s="37"/>
      <c r="H45" s="37"/>
      <c r="I45" s="37"/>
      <c r="J45" s="76"/>
      <c r="K45" s="76"/>
    </row>
    <row r="46" spans="1:11">
      <c r="A46" s="56" t="s">
        <v>1446</v>
      </c>
      <c r="B46" s="37" t="s">
        <v>16</v>
      </c>
      <c r="C46" s="212"/>
      <c r="D46" s="59" t="s">
        <v>1447</v>
      </c>
      <c r="E46" s="473"/>
      <c r="F46" s="37" t="s">
        <v>1361</v>
      </c>
      <c r="G46" s="37"/>
      <c r="H46" s="37"/>
      <c r="I46" s="37"/>
      <c r="J46" s="76"/>
      <c r="K46" s="76"/>
    </row>
    <row r="47" spans="1:11">
      <c r="A47" s="56" t="s">
        <v>1448</v>
      </c>
      <c r="B47" s="37" t="s">
        <v>16</v>
      </c>
      <c r="C47" s="212"/>
      <c r="D47" s="59" t="s">
        <v>1449</v>
      </c>
      <c r="E47" s="473"/>
      <c r="F47" s="37" t="s">
        <v>1361</v>
      </c>
      <c r="G47" s="37"/>
      <c r="H47" s="37"/>
      <c r="I47" s="37"/>
      <c r="J47" s="76"/>
      <c r="K47" s="76"/>
    </row>
    <row r="48" spans="1:11">
      <c r="A48" s="56" t="s">
        <v>1450</v>
      </c>
      <c r="B48" s="37" t="s">
        <v>16</v>
      </c>
      <c r="C48" s="212"/>
      <c r="D48" s="59" t="s">
        <v>1451</v>
      </c>
      <c r="E48" s="473"/>
      <c r="F48" s="37" t="s">
        <v>1361</v>
      </c>
      <c r="G48" s="80"/>
      <c r="H48" s="37"/>
      <c r="I48" s="37"/>
      <c r="J48" s="76"/>
      <c r="K48" s="76"/>
    </row>
    <row r="49" spans="1:11">
      <c r="A49" s="56" t="s">
        <v>1452</v>
      </c>
      <c r="B49" s="37" t="s">
        <v>16</v>
      </c>
      <c r="C49" s="212"/>
      <c r="D49" s="59" t="s">
        <v>1453</v>
      </c>
      <c r="E49" s="473"/>
      <c r="F49" s="37" t="s">
        <v>1361</v>
      </c>
      <c r="G49" s="37"/>
      <c r="H49" s="37"/>
      <c r="I49" s="37"/>
      <c r="J49" s="76"/>
      <c r="K49" s="76"/>
    </row>
    <row r="50" spans="1:11">
      <c r="A50" s="56" t="s">
        <v>1454</v>
      </c>
      <c r="B50" s="37" t="s">
        <v>16</v>
      </c>
      <c r="C50" s="212"/>
      <c r="D50" s="59" t="s">
        <v>1455</v>
      </c>
      <c r="E50" s="473"/>
      <c r="F50" s="37" t="s">
        <v>1361</v>
      </c>
      <c r="G50" s="37"/>
      <c r="H50" s="37"/>
      <c r="I50" s="37"/>
      <c r="J50" s="76"/>
      <c r="K50" s="76"/>
    </row>
    <row r="51" spans="1:11">
      <c r="A51" s="56" t="s">
        <v>1456</v>
      </c>
      <c r="B51" s="37" t="s">
        <v>16</v>
      </c>
      <c r="C51" s="212"/>
      <c r="D51" s="59" t="s">
        <v>1457</v>
      </c>
      <c r="E51" s="473"/>
      <c r="F51" s="37" t="s">
        <v>1361</v>
      </c>
      <c r="G51" s="37"/>
      <c r="H51" s="37"/>
      <c r="I51" s="37"/>
      <c r="J51" s="76"/>
      <c r="K51" s="76"/>
    </row>
    <row r="52" spans="1:11">
      <c r="A52" s="56" t="s">
        <v>1458</v>
      </c>
      <c r="B52" s="37" t="s">
        <v>16</v>
      </c>
      <c r="C52" s="212"/>
      <c r="D52" s="59" t="s">
        <v>1459</v>
      </c>
      <c r="E52" s="473"/>
      <c r="F52" s="37" t="s">
        <v>1361</v>
      </c>
      <c r="G52" s="37"/>
      <c r="H52" s="37"/>
      <c r="I52" s="37"/>
      <c r="J52" s="76"/>
      <c r="K52" s="76"/>
    </row>
    <row r="53" spans="1:11">
      <c r="A53" s="56" t="s">
        <v>1460</v>
      </c>
      <c r="B53" s="37" t="s">
        <v>16</v>
      </c>
      <c r="C53" s="212"/>
      <c r="D53" s="59" t="s">
        <v>1461</v>
      </c>
      <c r="E53" s="473"/>
      <c r="F53" s="37" t="s">
        <v>1361</v>
      </c>
      <c r="G53" s="37"/>
      <c r="H53" s="37"/>
      <c r="I53" s="37"/>
      <c r="J53" s="76"/>
      <c r="K53" s="76"/>
    </row>
    <row r="54" spans="1:11">
      <c r="A54" s="56" t="s">
        <v>1462</v>
      </c>
      <c r="B54" s="37" t="s">
        <v>16</v>
      </c>
      <c r="C54" s="212"/>
      <c r="D54" s="59" t="s">
        <v>1463</v>
      </c>
      <c r="E54" s="473"/>
      <c r="F54" s="37" t="s">
        <v>1361</v>
      </c>
      <c r="G54" s="37"/>
      <c r="H54" s="37"/>
      <c r="I54" s="37"/>
      <c r="J54" s="76"/>
      <c r="K54" s="76"/>
    </row>
    <row r="55" spans="1:11">
      <c r="A55" s="56" t="s">
        <v>1464</v>
      </c>
      <c r="B55" s="37" t="s">
        <v>16</v>
      </c>
      <c r="C55" s="212"/>
      <c r="D55" s="59" t="s">
        <v>1465</v>
      </c>
      <c r="E55" s="473"/>
      <c r="F55" s="37" t="s">
        <v>1361</v>
      </c>
      <c r="G55" s="37"/>
      <c r="H55" s="37"/>
      <c r="I55" s="37"/>
      <c r="J55" s="76"/>
      <c r="K55" s="76"/>
    </row>
    <row r="56" spans="1:11">
      <c r="A56" s="56" t="s">
        <v>1466</v>
      </c>
      <c r="B56" s="37" t="s">
        <v>16</v>
      </c>
      <c r="C56" s="212"/>
      <c r="D56" s="59" t="s">
        <v>1467</v>
      </c>
      <c r="E56" s="473"/>
      <c r="F56" s="37" t="s">
        <v>1361</v>
      </c>
      <c r="G56" s="37"/>
      <c r="H56" s="37"/>
      <c r="I56" s="37"/>
      <c r="J56" s="76"/>
      <c r="K56" s="76"/>
    </row>
    <row r="57" spans="1:11">
      <c r="A57" s="56" t="s">
        <v>1468</v>
      </c>
      <c r="B57" s="37" t="s">
        <v>16</v>
      </c>
      <c r="C57" s="212"/>
      <c r="D57" s="59" t="s">
        <v>1469</v>
      </c>
      <c r="E57" s="473"/>
      <c r="F57" s="37" t="s">
        <v>1361</v>
      </c>
      <c r="G57" s="37"/>
      <c r="H57" s="37"/>
      <c r="I57" s="37"/>
      <c r="J57" s="76"/>
      <c r="K57" s="76"/>
    </row>
    <row r="58" spans="1:11">
      <c r="A58" s="56" t="s">
        <v>1470</v>
      </c>
      <c r="B58" s="37" t="s">
        <v>16</v>
      </c>
      <c r="C58" s="212"/>
      <c r="D58" s="59" t="s">
        <v>1471</v>
      </c>
      <c r="E58" s="473"/>
      <c r="F58" s="37" t="s">
        <v>1361</v>
      </c>
      <c r="G58" s="37"/>
      <c r="H58" s="37"/>
      <c r="I58" s="37"/>
      <c r="J58" s="76"/>
      <c r="K58" s="76"/>
    </row>
    <row r="59" spans="1:11">
      <c r="A59" s="56" t="s">
        <v>1472</v>
      </c>
      <c r="B59" s="37" t="s">
        <v>16</v>
      </c>
      <c r="C59" s="212"/>
      <c r="D59" s="59" t="s">
        <v>1473</v>
      </c>
      <c r="E59" s="473"/>
      <c r="F59" s="37" t="s">
        <v>1361</v>
      </c>
      <c r="G59" s="37"/>
      <c r="H59" s="37"/>
      <c r="I59" s="37"/>
      <c r="J59" s="76"/>
      <c r="K59" s="76"/>
    </row>
    <row r="60" spans="1:11">
      <c r="A60" s="56" t="s">
        <v>1474</v>
      </c>
      <c r="B60" s="37" t="s">
        <v>16</v>
      </c>
      <c r="C60" s="212"/>
      <c r="D60" s="59" t="s">
        <v>1475</v>
      </c>
      <c r="E60" s="473"/>
      <c r="F60" s="37" t="s">
        <v>1361</v>
      </c>
      <c r="G60" s="80"/>
      <c r="H60" s="37"/>
      <c r="I60" s="37"/>
      <c r="J60" s="76"/>
      <c r="K60" s="76"/>
    </row>
    <row r="61" spans="1:11">
      <c r="A61" s="56" t="s">
        <v>1476</v>
      </c>
      <c r="B61" s="37" t="s">
        <v>16</v>
      </c>
      <c r="C61" s="212"/>
      <c r="D61" s="59" t="s">
        <v>1477</v>
      </c>
      <c r="E61" s="473"/>
      <c r="F61" s="37" t="s">
        <v>1361</v>
      </c>
      <c r="G61" s="37"/>
      <c r="H61" s="37"/>
      <c r="I61" s="37"/>
      <c r="J61" s="76"/>
      <c r="K61" s="76"/>
    </row>
    <row r="62" spans="1:11">
      <c r="A62" s="56" t="s">
        <v>1478</v>
      </c>
      <c r="B62" s="37" t="s">
        <v>16</v>
      </c>
      <c r="C62" s="212"/>
      <c r="D62" s="59" t="s">
        <v>1479</v>
      </c>
      <c r="E62" s="473"/>
      <c r="F62" s="37" t="s">
        <v>1361</v>
      </c>
      <c r="G62" s="37"/>
      <c r="H62" s="37"/>
      <c r="I62" s="37"/>
      <c r="J62" s="76"/>
      <c r="K62" s="76"/>
    </row>
    <row r="63" spans="1:11">
      <c r="A63" s="56" t="s">
        <v>1480</v>
      </c>
      <c r="B63" s="37" t="s">
        <v>16</v>
      </c>
      <c r="C63" s="212"/>
      <c r="D63" s="59" t="s">
        <v>1481</v>
      </c>
      <c r="E63" s="473"/>
      <c r="F63" s="37" t="s">
        <v>1361</v>
      </c>
      <c r="G63" s="37"/>
      <c r="H63" s="37"/>
      <c r="I63" s="37"/>
      <c r="J63" s="76"/>
      <c r="K63" s="76"/>
    </row>
    <row r="64" spans="1:11">
      <c r="A64" s="56" t="s">
        <v>1482</v>
      </c>
      <c r="B64" s="37" t="s">
        <v>16</v>
      </c>
      <c r="C64" s="212"/>
      <c r="D64" s="59" t="s">
        <v>1483</v>
      </c>
      <c r="E64" s="473"/>
      <c r="F64" s="37" t="s">
        <v>1361</v>
      </c>
      <c r="G64" s="80"/>
      <c r="H64" s="37"/>
      <c r="I64" s="37"/>
      <c r="J64" s="76"/>
      <c r="K64" s="76"/>
    </row>
    <row r="65" spans="1:11">
      <c r="A65" s="56" t="s">
        <v>1484</v>
      </c>
      <c r="B65" s="37" t="s">
        <v>16</v>
      </c>
      <c r="C65" s="212"/>
      <c r="D65" s="59" t="s">
        <v>1485</v>
      </c>
      <c r="E65" s="473"/>
      <c r="F65" s="37" t="s">
        <v>1361</v>
      </c>
      <c r="G65" s="80"/>
      <c r="H65" s="37"/>
      <c r="I65" s="37"/>
      <c r="J65" s="76"/>
      <c r="K65" s="76"/>
    </row>
    <row r="66" spans="1:11">
      <c r="A66" s="56" t="s">
        <v>1486</v>
      </c>
      <c r="B66" s="37" t="s">
        <v>16</v>
      </c>
      <c r="C66" s="212"/>
      <c r="D66" s="59" t="s">
        <v>1487</v>
      </c>
      <c r="E66" s="473"/>
      <c r="F66" s="37" t="s">
        <v>1361</v>
      </c>
      <c r="G66" s="37"/>
      <c r="H66" s="37"/>
      <c r="I66" s="37"/>
      <c r="J66" s="76"/>
      <c r="K66" s="76"/>
    </row>
    <row r="67" spans="1:11">
      <c r="A67" s="56" t="s">
        <v>1488</v>
      </c>
      <c r="B67" s="37" t="s">
        <v>16</v>
      </c>
      <c r="C67" s="212"/>
      <c r="D67" s="59" t="s">
        <v>1489</v>
      </c>
      <c r="E67" s="473"/>
      <c r="F67" s="37" t="s">
        <v>1361</v>
      </c>
      <c r="G67" s="37"/>
      <c r="H67" s="37"/>
      <c r="I67" s="37"/>
      <c r="J67" s="76"/>
      <c r="K67" s="76"/>
    </row>
    <row r="68" spans="1:11">
      <c r="A68" s="56" t="s">
        <v>1490</v>
      </c>
      <c r="B68" s="37" t="s">
        <v>16</v>
      </c>
      <c r="C68" s="212"/>
      <c r="D68" s="59" t="s">
        <v>1491</v>
      </c>
      <c r="E68" s="473"/>
      <c r="F68" s="37" t="s">
        <v>1361</v>
      </c>
      <c r="G68" s="37"/>
      <c r="H68" s="37"/>
      <c r="I68" s="37"/>
      <c r="J68" s="76"/>
      <c r="K68" s="76"/>
    </row>
    <row r="69" spans="1:11">
      <c r="A69" s="56" t="s">
        <v>1492</v>
      </c>
      <c r="B69" s="37" t="s">
        <v>16</v>
      </c>
      <c r="C69" s="212"/>
      <c r="D69" s="59" t="s">
        <v>1493</v>
      </c>
      <c r="E69" s="473"/>
      <c r="F69" s="37" t="s">
        <v>1361</v>
      </c>
      <c r="G69" s="80"/>
      <c r="H69" s="37"/>
      <c r="I69" s="37"/>
      <c r="J69" s="76"/>
      <c r="K69" s="76"/>
    </row>
    <row r="70" spans="1:11">
      <c r="A70" s="56" t="s">
        <v>1494</v>
      </c>
      <c r="B70" s="37" t="s">
        <v>16</v>
      </c>
      <c r="C70" s="212"/>
      <c r="D70" s="59" t="s">
        <v>1495</v>
      </c>
      <c r="E70" s="473"/>
      <c r="F70" s="37" t="s">
        <v>1361</v>
      </c>
      <c r="G70" s="37"/>
      <c r="H70" s="37"/>
      <c r="I70" s="37"/>
      <c r="J70" s="76"/>
      <c r="K70" s="76"/>
    </row>
    <row r="71" spans="1:11">
      <c r="A71" s="56" t="s">
        <v>1496</v>
      </c>
      <c r="B71" s="37" t="s">
        <v>16</v>
      </c>
      <c r="C71" s="212"/>
      <c r="D71" s="59" t="s">
        <v>1497</v>
      </c>
      <c r="E71" s="473"/>
      <c r="F71" s="37" t="s">
        <v>1361</v>
      </c>
      <c r="G71" s="37"/>
      <c r="H71" s="37"/>
      <c r="I71" s="37"/>
      <c r="J71" s="76"/>
      <c r="K71" s="76"/>
    </row>
    <row r="72" spans="1:11">
      <c r="A72" s="56" t="s">
        <v>1498</v>
      </c>
      <c r="B72" s="37" t="s">
        <v>16</v>
      </c>
      <c r="C72" s="212"/>
      <c r="D72" s="59" t="s">
        <v>1499</v>
      </c>
      <c r="E72" s="473"/>
      <c r="F72" s="37" t="s">
        <v>1361</v>
      </c>
      <c r="G72" s="37"/>
      <c r="H72" s="37"/>
      <c r="I72" s="37"/>
      <c r="J72" s="76"/>
      <c r="K72" s="76"/>
    </row>
    <row r="73" spans="1:11">
      <c r="A73" s="56" t="s">
        <v>1500</v>
      </c>
      <c r="B73" s="37" t="s">
        <v>16</v>
      </c>
      <c r="C73" s="212"/>
      <c r="D73" s="59" t="s">
        <v>1501</v>
      </c>
      <c r="E73" s="473"/>
      <c r="F73" s="37" t="s">
        <v>1361</v>
      </c>
      <c r="G73" s="37"/>
      <c r="H73" s="37"/>
      <c r="I73" s="37"/>
      <c r="J73" s="76"/>
      <c r="K73" s="76"/>
    </row>
    <row r="74" spans="1:11">
      <c r="A74" s="56" t="s">
        <v>1502</v>
      </c>
      <c r="B74" s="37" t="s">
        <v>16</v>
      </c>
      <c r="C74" s="212"/>
      <c r="D74" s="59" t="s">
        <v>1503</v>
      </c>
      <c r="E74" s="473"/>
      <c r="F74" s="37" t="s">
        <v>1361</v>
      </c>
      <c r="G74" s="80"/>
      <c r="H74" s="37"/>
      <c r="I74" s="37"/>
      <c r="J74" s="76"/>
      <c r="K74" s="76"/>
    </row>
    <row r="75" spans="1:11">
      <c r="A75" s="56" t="s">
        <v>1504</v>
      </c>
      <c r="B75" s="37" t="s">
        <v>16</v>
      </c>
      <c r="C75" s="212"/>
      <c r="D75" s="59" t="s">
        <v>1505</v>
      </c>
      <c r="E75" s="473"/>
      <c r="F75" s="37" t="s">
        <v>1361</v>
      </c>
      <c r="G75" s="37"/>
      <c r="H75" s="37"/>
      <c r="I75" s="37"/>
      <c r="J75" s="76"/>
      <c r="K75" s="76"/>
    </row>
    <row r="76" spans="1:11">
      <c r="A76" s="56" t="s">
        <v>1506</v>
      </c>
      <c r="B76" s="37" t="s">
        <v>16</v>
      </c>
      <c r="C76" s="212"/>
      <c r="D76" s="59" t="s">
        <v>1507</v>
      </c>
      <c r="E76" s="473"/>
      <c r="F76" s="37" t="s">
        <v>1361</v>
      </c>
      <c r="G76" s="80"/>
      <c r="H76" s="37"/>
      <c r="I76" s="37"/>
      <c r="J76" s="76"/>
      <c r="K76" s="76"/>
    </row>
    <row r="77" spans="1:11">
      <c r="A77" s="56" t="s">
        <v>1508</v>
      </c>
      <c r="B77" s="37" t="s">
        <v>16</v>
      </c>
      <c r="C77" s="212"/>
      <c r="D77" s="59" t="s">
        <v>1509</v>
      </c>
      <c r="E77" s="473"/>
      <c r="F77" s="37" t="s">
        <v>1361</v>
      </c>
      <c r="G77" s="37"/>
      <c r="H77" s="37"/>
      <c r="I77" s="37"/>
      <c r="J77" s="76"/>
      <c r="K77" s="76"/>
    </row>
    <row r="78" spans="1:11" ht="28">
      <c r="A78" s="56" t="s">
        <v>1510</v>
      </c>
      <c r="B78" s="37" t="s">
        <v>16</v>
      </c>
      <c r="C78" s="212"/>
      <c r="D78" s="59" t="s">
        <v>1511</v>
      </c>
      <c r="E78" s="473"/>
      <c r="F78" s="37" t="s">
        <v>1361</v>
      </c>
      <c r="G78" s="59"/>
      <c r="H78" s="37"/>
      <c r="I78" s="37"/>
      <c r="J78" s="76"/>
      <c r="K78" s="76"/>
    </row>
    <row r="79" spans="1:11">
      <c r="A79" s="56" t="s">
        <v>1512</v>
      </c>
      <c r="B79" s="37" t="s">
        <v>16</v>
      </c>
      <c r="C79" s="212"/>
      <c r="D79" s="59" t="s">
        <v>1513</v>
      </c>
      <c r="E79" s="473"/>
      <c r="F79" s="37" t="s">
        <v>1361</v>
      </c>
      <c r="G79" s="80"/>
      <c r="H79" s="37"/>
      <c r="I79" s="37"/>
      <c r="J79" s="76"/>
      <c r="K79" s="76"/>
    </row>
    <row r="80" spans="1:11">
      <c r="A80" s="56" t="s">
        <v>1514</v>
      </c>
      <c r="B80" s="37" t="s">
        <v>16</v>
      </c>
      <c r="C80" s="212"/>
      <c r="D80" s="59" t="s">
        <v>1515</v>
      </c>
      <c r="E80" s="473"/>
      <c r="F80" s="37" t="s">
        <v>1361</v>
      </c>
      <c r="G80" s="37"/>
      <c r="H80" s="37"/>
      <c r="I80" s="37"/>
      <c r="J80" s="76"/>
      <c r="K80" s="76"/>
    </row>
    <row r="81" spans="1:11">
      <c r="A81" s="56" t="s">
        <v>1516</v>
      </c>
      <c r="B81" s="37" t="s">
        <v>16</v>
      </c>
      <c r="C81" s="212"/>
      <c r="D81" s="59" t="s">
        <v>1517</v>
      </c>
      <c r="E81" s="473"/>
      <c r="F81" s="37" t="s">
        <v>1361</v>
      </c>
      <c r="G81" s="37"/>
      <c r="H81" s="37"/>
      <c r="I81" s="37"/>
      <c r="J81" s="76"/>
      <c r="K81" s="76"/>
    </row>
    <row r="82" spans="1:11">
      <c r="A82" s="56" t="s">
        <v>1518</v>
      </c>
      <c r="B82" s="37" t="s">
        <v>16</v>
      </c>
      <c r="C82" s="212"/>
      <c r="D82" s="59" t="s">
        <v>1519</v>
      </c>
      <c r="E82" s="473"/>
      <c r="F82" s="37" t="s">
        <v>1361</v>
      </c>
      <c r="G82" s="37"/>
      <c r="H82" s="37"/>
      <c r="I82" s="37"/>
      <c r="J82" s="76"/>
      <c r="K82" s="76"/>
    </row>
    <row r="83" spans="1:11">
      <c r="A83" s="56" t="s">
        <v>1520</v>
      </c>
      <c r="B83" s="37" t="s">
        <v>16</v>
      </c>
      <c r="C83" s="212"/>
      <c r="D83" s="59" t="s">
        <v>1521</v>
      </c>
      <c r="E83" s="473"/>
      <c r="F83" s="37" t="s">
        <v>1361</v>
      </c>
      <c r="G83" s="37"/>
      <c r="H83" s="37"/>
      <c r="I83" s="37"/>
      <c r="J83" s="76"/>
      <c r="K83" s="76"/>
    </row>
    <row r="84" spans="1:11">
      <c r="A84" s="56" t="s">
        <v>1522</v>
      </c>
      <c r="B84" s="37" t="s">
        <v>16</v>
      </c>
      <c r="C84" s="212"/>
      <c r="D84" s="59" t="s">
        <v>1523</v>
      </c>
      <c r="E84" s="473"/>
      <c r="F84" s="37" t="s">
        <v>1361</v>
      </c>
      <c r="G84" s="37"/>
      <c r="H84" s="37"/>
      <c r="I84" s="37"/>
      <c r="J84" s="76"/>
      <c r="K84" s="76"/>
    </row>
    <row r="85" spans="1:11">
      <c r="A85" s="56" t="s">
        <v>1524</v>
      </c>
      <c r="B85" s="37" t="s">
        <v>16</v>
      </c>
      <c r="C85" s="212"/>
      <c r="D85" s="59" t="s">
        <v>1525</v>
      </c>
      <c r="E85" s="473"/>
      <c r="F85" s="37" t="s">
        <v>1361</v>
      </c>
      <c r="G85" s="59"/>
      <c r="H85" s="37"/>
      <c r="I85" s="37"/>
      <c r="J85" s="76"/>
      <c r="K85" s="76"/>
    </row>
    <row r="86" spans="1:11">
      <c r="A86" s="56" t="s">
        <v>1526</v>
      </c>
      <c r="B86" s="37" t="s">
        <v>16</v>
      </c>
      <c r="C86" s="212"/>
      <c r="D86" s="59" t="s">
        <v>1527</v>
      </c>
      <c r="E86" s="473"/>
      <c r="F86" s="37" t="s">
        <v>1361</v>
      </c>
      <c r="G86" s="37"/>
      <c r="H86" s="37"/>
      <c r="I86" s="37"/>
      <c r="J86" s="76"/>
      <c r="K86" s="76"/>
    </row>
    <row r="87" spans="1:11" ht="28">
      <c r="A87" s="56" t="s">
        <v>1528</v>
      </c>
      <c r="B87" s="141" t="s">
        <v>16</v>
      </c>
      <c r="C87" s="606"/>
      <c r="D87" s="59" t="s">
        <v>1529</v>
      </c>
      <c r="E87" s="609"/>
      <c r="F87" s="141" t="s">
        <v>1361</v>
      </c>
      <c r="G87" s="141"/>
      <c r="H87" s="141"/>
      <c r="I87" s="141"/>
      <c r="J87" s="76"/>
      <c r="K87" s="140"/>
    </row>
    <row r="88" spans="1:11">
      <c r="A88" s="56" t="s">
        <v>1530</v>
      </c>
      <c r="B88" s="37" t="s">
        <v>16</v>
      </c>
      <c r="C88" s="212"/>
      <c r="D88" s="59" t="s">
        <v>1531</v>
      </c>
      <c r="E88" s="473"/>
      <c r="F88" s="37" t="s">
        <v>1361</v>
      </c>
      <c r="G88" s="37"/>
      <c r="H88" s="37"/>
      <c r="I88" s="37"/>
      <c r="J88" s="76"/>
      <c r="K88" s="76"/>
    </row>
    <row r="89" spans="1:11" ht="28">
      <c r="A89" s="56" t="s">
        <v>1532</v>
      </c>
      <c r="B89" s="37" t="s">
        <v>16</v>
      </c>
      <c r="C89" s="212"/>
      <c r="D89" s="59" t="s">
        <v>1533</v>
      </c>
      <c r="E89" s="473"/>
      <c r="F89" s="37" t="s">
        <v>1361</v>
      </c>
      <c r="G89" s="59"/>
      <c r="H89" s="37"/>
      <c r="I89" s="37"/>
      <c r="J89" s="76"/>
      <c r="K89" s="76"/>
    </row>
    <row r="90" spans="1:11" ht="28">
      <c r="A90" s="88" t="s">
        <v>1534</v>
      </c>
      <c r="B90" s="37" t="s">
        <v>16</v>
      </c>
      <c r="C90" s="212"/>
      <c r="D90" s="59" t="s">
        <v>1535</v>
      </c>
      <c r="E90" s="609"/>
      <c r="F90" s="141" t="s">
        <v>1361</v>
      </c>
      <c r="G90" s="610"/>
      <c r="H90" s="611"/>
      <c r="I90" s="611"/>
      <c r="J90" s="438"/>
      <c r="K90" s="438"/>
    </row>
    <row r="91" spans="1:11">
      <c r="A91" s="56" t="s">
        <v>1536</v>
      </c>
      <c r="B91" s="37" t="s">
        <v>16</v>
      </c>
      <c r="C91" s="212"/>
      <c r="D91" s="59" t="s">
        <v>1537</v>
      </c>
      <c r="E91" s="37"/>
      <c r="F91" s="37" t="s">
        <v>1361</v>
      </c>
      <c r="G91" s="59"/>
      <c r="H91" s="37"/>
      <c r="I91" s="37"/>
      <c r="J91" s="76"/>
      <c r="K91" s="76"/>
    </row>
  </sheetData>
  <mergeCells count="10">
    <mergeCell ref="A1:A2"/>
    <mergeCell ref="B1:B2"/>
    <mergeCell ref="C1:C2"/>
    <mergeCell ref="D1:D2"/>
    <mergeCell ref="E1:E2"/>
    <mergeCell ref="F1:F2"/>
    <mergeCell ref="G1:G2"/>
    <mergeCell ref="H1:H2"/>
    <mergeCell ref="I1:I2"/>
    <mergeCell ref="J1:K1"/>
  </mergeCells>
  <phoneticPr fontId="106" type="noConversion"/>
  <dataValidations count="7">
    <dataValidation type="list" allowBlank="1" showInputMessage="1" showErrorMessage="1" sqref="F1:F1048576" xr:uid="{00000000-0002-0000-0D00-000000000000}">
      <formula1>"SKIP,合成FPGA PASS,合成FPGA FAIL,合成Pallaidum PASS,合成Pallaidum FAIL,"</formula1>
    </dataValidation>
    <dataValidation type="list" allowBlank="1" showInputMessage="1" showErrorMessage="1" sqref="E1:E1048576" xr:uid="{00000000-0002-0000-0D00-000001000000}">
      <formula1>"SKIPPED,合成FPGA PASS,合成FPGA FAIL,合成Palladium PASS,合成Palladium FAIL,FPGA NOT RUN,"</formula1>
    </dataValidation>
    <dataValidation type="list" allowBlank="1" showInputMessage="1" showErrorMessage="1" sqref="J1:K1 J3:K1048576" xr:uid="{00000000-0002-0000-0D00-000002000000}">
      <formula1>"NT,PASS,FAIL,BLOCK,SKIPPED,"</formula1>
    </dataValidation>
    <dataValidation type="list" allowBlank="1" showInputMessage="1" showErrorMessage="1" sqref="C1:C1048576" xr:uid="{00000000-0002-0000-0D00-000003000000}">
      <formula1>"SKIPPED,基础FPGA PASS,基础FPGA FAIL,基础Palladium PASS,基础Palladium FAIL,"</formula1>
    </dataValidation>
    <dataValidation type="list" allowBlank="1" showInputMessage="1" showErrorMessage="1" sqref="D1:D1048576" xr:uid="{00000000-0002-0000-0D00-000005000000}">
      <formula1>"SKIP,基础FPGA PASS,基础FPGA FAIL,基础Pallaidum PASS,基础Pallaidum FAIL,"</formula1>
    </dataValidation>
    <dataValidation type="list" showInputMessage="1" showErrorMessage="1" sqref="B3:B91" xr:uid="{00000000-0002-0000-0D00-000006000000}">
      <formula1>"Case Type,Basicfunction,"</formula1>
    </dataValidation>
    <dataValidation type="list" showInputMessage="1" showErrorMessage="1" sqref="G18" xr:uid="{00000000-0002-0000-0D00-000007000000}">
      <formula1>"SKIPPED,合成FPGA PASS,合成FPGA FAIL,合成Palladium PASS,合成Palladium FAIL,FPGA NOT RUN,"</formula1>
    </dataValidation>
  </dataValidation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PBL">
    <tabColor rgb="FFFFFFFF"/>
  </sheetPr>
  <dimension ref="A1:AA174"/>
  <sheetViews>
    <sheetView workbookViewId="0">
      <pane ySplit="1" topLeftCell="A2" activePane="bottomLeft" state="frozen"/>
      <selection pane="bottomLeft"/>
    </sheetView>
  </sheetViews>
  <sheetFormatPr defaultRowHeight="13"/>
  <cols>
    <col min="1" max="1" width="22.54296875" customWidth="1"/>
    <col min="2" max="2" width="42.90625" customWidth="1"/>
    <col min="3" max="3" width="19.54296875" customWidth="1"/>
    <col min="4" max="4" width="14.7265625" customWidth="1"/>
    <col min="5" max="5" width="15.7265625" customWidth="1"/>
    <col min="6" max="6" width="21.26953125" customWidth="1"/>
    <col min="7" max="7" width="15.7265625" customWidth="1"/>
    <col min="8" max="8" width="17.26953125" customWidth="1"/>
    <col min="9" max="10" width="14.7265625" customWidth="1"/>
    <col min="11" max="11" width="19.453125" customWidth="1"/>
    <col min="12" max="12" width="16.7265625" customWidth="1"/>
    <col min="13" max="13" width="14.7265625" customWidth="1"/>
    <col min="14" max="14" width="20.7265625" customWidth="1"/>
    <col min="15" max="15" width="15.7265625" customWidth="1"/>
    <col min="16" max="22" width="14.7265625" customWidth="1"/>
    <col min="23" max="23" width="26.7265625" customWidth="1"/>
    <col min="24" max="24" width="14.7265625" customWidth="1"/>
    <col min="25" max="25" width="31.7265625" customWidth="1"/>
    <col min="26" max="27" width="14.7265625" customWidth="1"/>
  </cols>
  <sheetData>
    <row r="1" spans="1:27" ht="14">
      <c r="A1" s="680"/>
      <c r="B1" s="680" t="s">
        <v>1945</v>
      </c>
      <c r="C1" s="681" t="s">
        <v>1946</v>
      </c>
      <c r="D1" s="680" t="s">
        <v>1947</v>
      </c>
      <c r="E1" s="681" t="s">
        <v>1948</v>
      </c>
      <c r="F1" s="680" t="s">
        <v>1949</v>
      </c>
      <c r="G1" s="682"/>
      <c r="H1" s="683"/>
      <c r="I1" s="1035"/>
      <c r="J1" s="1036"/>
      <c r="K1" s="1036"/>
      <c r="L1" s="1036"/>
      <c r="M1" s="1036"/>
      <c r="N1" s="1036"/>
      <c r="O1" s="684"/>
      <c r="P1" s="684"/>
      <c r="Q1" s="684"/>
      <c r="R1" s="684"/>
      <c r="S1" s="684"/>
      <c r="T1" s="684"/>
      <c r="U1" s="684"/>
      <c r="V1" s="684"/>
      <c r="W1" s="684"/>
      <c r="X1" s="684"/>
      <c r="Y1" s="684"/>
      <c r="Z1" s="684"/>
      <c r="AA1" s="684"/>
    </row>
    <row r="2" spans="1:27" ht="52">
      <c r="A2" s="685" t="s">
        <v>1950</v>
      </c>
      <c r="B2" s="685" t="s">
        <v>1951</v>
      </c>
      <c r="C2" s="686" t="s">
        <v>23</v>
      </c>
      <c r="D2" s="685"/>
      <c r="E2" s="687" t="s">
        <v>23</v>
      </c>
      <c r="F2" s="685"/>
      <c r="H2" s="688" t="s">
        <v>1952</v>
      </c>
      <c r="I2" s="689" t="s">
        <v>1953</v>
      </c>
    </row>
    <row r="3" spans="1:27" ht="28">
      <c r="A3" s="685" t="s">
        <v>1954</v>
      </c>
      <c r="B3" s="685" t="s">
        <v>1955</v>
      </c>
      <c r="C3" s="690" t="s">
        <v>23</v>
      </c>
      <c r="D3" s="685"/>
      <c r="E3" s="687" t="s">
        <v>23</v>
      </c>
      <c r="F3" s="685"/>
    </row>
    <row r="4" spans="1:27" ht="28">
      <c r="A4" s="685" t="s">
        <v>1956</v>
      </c>
      <c r="B4" s="685" t="s">
        <v>1957</v>
      </c>
      <c r="C4" s="690" t="s">
        <v>23</v>
      </c>
      <c r="D4" s="685"/>
      <c r="E4" s="687" t="s">
        <v>23</v>
      </c>
      <c r="F4" s="685"/>
      <c r="H4" s="691" t="s">
        <v>1958</v>
      </c>
      <c r="I4" s="59">
        <f>SUM(I5:I7)</f>
        <v>21</v>
      </c>
      <c r="J4" s="162"/>
      <c r="K4" s="691" t="s">
        <v>1959</v>
      </c>
      <c r="L4" s="220">
        <f>SUM(L5:L7)</f>
        <v>22</v>
      </c>
      <c r="M4" s="59"/>
      <c r="N4" s="692" t="s">
        <v>1960</v>
      </c>
      <c r="O4" s="254">
        <f>SUM(O5:O7)</f>
        <v>22</v>
      </c>
      <c r="P4" s="59"/>
      <c r="Q4" s="693" t="s">
        <v>1961</v>
      </c>
      <c r="R4" s="59">
        <f>SUM(R5:R7)</f>
        <v>22</v>
      </c>
      <c r="S4" s="35"/>
      <c r="T4" s="693" t="s">
        <v>1962</v>
      </c>
      <c r="U4" s="59">
        <f>SUM(U5:U7)</f>
        <v>26</v>
      </c>
      <c r="V4" s="37"/>
      <c r="W4" s="693" t="s">
        <v>1963</v>
      </c>
      <c r="X4" s="59">
        <f>SUM(X5:X7)</f>
        <v>26</v>
      </c>
      <c r="Y4" s="693" t="s">
        <v>1964</v>
      </c>
      <c r="Z4" s="59">
        <f>SUM(Z5:Z7)</f>
        <v>26</v>
      </c>
      <c r="AA4" s="37"/>
    </row>
    <row r="5" spans="1:27" ht="28">
      <c r="A5" s="685" t="s">
        <v>1965</v>
      </c>
      <c r="B5" s="685" t="s">
        <v>1966</v>
      </c>
      <c r="C5" s="690" t="s">
        <v>23</v>
      </c>
      <c r="D5" s="685"/>
      <c r="E5" s="687" t="s">
        <v>23</v>
      </c>
      <c r="F5" s="685"/>
      <c r="H5" s="691" t="s">
        <v>1967</v>
      </c>
      <c r="I5" s="59">
        <f>COUNTIF(C2:C22,"PASS")</f>
        <v>21</v>
      </c>
      <c r="J5" s="162"/>
      <c r="K5" s="691" t="s">
        <v>1968</v>
      </c>
      <c r="L5" s="220">
        <f>COUNTIF(C32:C53,"PASS")</f>
        <v>22</v>
      </c>
      <c r="M5" s="59"/>
      <c r="N5" s="692" t="s">
        <v>1969</v>
      </c>
      <c r="O5" s="254">
        <f>COUNTIF(G32:G53,"PASS")</f>
        <v>21</v>
      </c>
      <c r="P5" s="59"/>
      <c r="Q5" s="693" t="s">
        <v>1970</v>
      </c>
      <c r="R5" s="254">
        <f>COUNTIF(K32:K53,"PASS")</f>
        <v>21</v>
      </c>
      <c r="S5" s="35"/>
      <c r="T5" s="693" t="s">
        <v>1971</v>
      </c>
      <c r="U5" s="59">
        <f>COUNTIF(C68:C93,"PASS")</f>
        <v>22</v>
      </c>
      <c r="V5" s="37"/>
      <c r="W5" s="693" t="s">
        <v>1972</v>
      </c>
      <c r="X5" s="59">
        <f>COUNTIF(C106:C131,"PASS")</f>
        <v>26</v>
      </c>
      <c r="Y5" s="693" t="s">
        <v>1973</v>
      </c>
      <c r="Z5" s="59">
        <f>COUNTIF(G106:G131,"PASS")</f>
        <v>26</v>
      </c>
      <c r="AA5" s="37"/>
    </row>
    <row r="6" spans="1:27" ht="28">
      <c r="A6" s="685" t="s">
        <v>1974</v>
      </c>
      <c r="B6" s="685" t="s">
        <v>1975</v>
      </c>
      <c r="C6" s="690" t="s">
        <v>23</v>
      </c>
      <c r="D6" s="685"/>
      <c r="E6" s="687" t="s">
        <v>23</v>
      </c>
      <c r="F6" s="685"/>
      <c r="H6" s="691" t="s">
        <v>1976</v>
      </c>
      <c r="I6" s="59">
        <f>COUNTIF(C2:C22,"FAIL")</f>
        <v>0</v>
      </c>
      <c r="J6" s="162"/>
      <c r="K6" s="691" t="s">
        <v>1977</v>
      </c>
      <c r="L6" s="220">
        <f>COUNTIF(C32:C53,"FAIL")</f>
        <v>0</v>
      </c>
      <c r="M6" s="59"/>
      <c r="N6" s="692" t="s">
        <v>1978</v>
      </c>
      <c r="O6" s="254">
        <f>COUNTIF(G32:G53,"FAIL")</f>
        <v>1</v>
      </c>
      <c r="P6" s="59"/>
      <c r="Q6" s="693" t="s">
        <v>1979</v>
      </c>
      <c r="R6" s="254">
        <f>COUNTIF(K32:K53,"FAIL")</f>
        <v>1</v>
      </c>
      <c r="S6" s="35"/>
      <c r="T6" s="693" t="s">
        <v>1980</v>
      </c>
      <c r="U6" s="59">
        <f>COUNTIF(C68:C93,"FAIL")</f>
        <v>4</v>
      </c>
      <c r="V6" s="37"/>
      <c r="W6" s="693" t="s">
        <v>1981</v>
      </c>
      <c r="X6" s="59">
        <f>COUNTIF(C106:C131,"FAIL")</f>
        <v>0</v>
      </c>
      <c r="Y6" s="693" t="s">
        <v>1982</v>
      </c>
      <c r="Z6" s="59">
        <f>COUNTIF(G106:G131,"FAIL")</f>
        <v>0</v>
      </c>
      <c r="AA6" s="37"/>
    </row>
    <row r="7" spans="1:27" ht="28">
      <c r="A7" s="685" t="s">
        <v>1983</v>
      </c>
      <c r="B7" s="685" t="s">
        <v>1984</v>
      </c>
      <c r="C7" s="690" t="s">
        <v>23</v>
      </c>
      <c r="D7" s="685"/>
      <c r="E7" s="687" t="s">
        <v>23</v>
      </c>
      <c r="F7" s="685"/>
      <c r="H7" s="691" t="s">
        <v>1985</v>
      </c>
      <c r="I7" s="59">
        <f>COUNTIF(C2:C22,"NT")</f>
        <v>0</v>
      </c>
      <c r="J7" s="162"/>
      <c r="K7" s="691" t="s">
        <v>1986</v>
      </c>
      <c r="L7" s="220">
        <f>COUNTIF(C32:C53,"NT")</f>
        <v>0</v>
      </c>
      <c r="M7" s="59"/>
      <c r="N7" s="692" t="s">
        <v>1987</v>
      </c>
      <c r="O7" s="254">
        <f>COUNTIF(G32:G53,"NT")</f>
        <v>0</v>
      </c>
      <c r="P7" s="59"/>
      <c r="Q7" s="693" t="s">
        <v>1988</v>
      </c>
      <c r="R7" s="254">
        <f>COUNTIF(K32:K53,"NT")</f>
        <v>0</v>
      </c>
      <c r="S7" s="35"/>
      <c r="T7" s="693" t="s">
        <v>1989</v>
      </c>
      <c r="U7" s="59">
        <f>COUNTIF(C68:C93,"NT")</f>
        <v>0</v>
      </c>
      <c r="V7" s="37"/>
      <c r="W7" s="693" t="s">
        <v>1990</v>
      </c>
      <c r="X7" s="59">
        <f>COUNTIF(C106:C131,"NT")</f>
        <v>0</v>
      </c>
      <c r="Y7" s="693" t="s">
        <v>1991</v>
      </c>
      <c r="Z7" s="59">
        <f>COUNTIF(G106:G131,"NT")</f>
        <v>0</v>
      </c>
      <c r="AA7" s="37"/>
    </row>
    <row r="8" spans="1:27" ht="28">
      <c r="A8" s="685" t="s">
        <v>1992</v>
      </c>
      <c r="B8" s="685" t="s">
        <v>1993</v>
      </c>
      <c r="C8" s="690" t="s">
        <v>23</v>
      </c>
      <c r="D8" s="685"/>
      <c r="E8" s="687" t="s">
        <v>23</v>
      </c>
      <c r="F8" s="685"/>
      <c r="H8" s="691" t="s">
        <v>1994</v>
      </c>
      <c r="I8" s="59">
        <f>SUM(I9:I11)</f>
        <v>21</v>
      </c>
      <c r="J8" s="162"/>
      <c r="K8" s="691" t="s">
        <v>1995</v>
      </c>
      <c r="L8" s="220">
        <f>SUM(L9:L11)</f>
        <v>22</v>
      </c>
      <c r="M8" s="59"/>
      <c r="N8" s="692" t="s">
        <v>1996</v>
      </c>
      <c r="O8" s="254">
        <f>SUM(O9:O11)</f>
        <v>22</v>
      </c>
      <c r="P8" s="59"/>
      <c r="Q8" s="693" t="s">
        <v>1997</v>
      </c>
      <c r="R8" s="59">
        <f>SUM(R9:R11)</f>
        <v>22</v>
      </c>
      <c r="S8" s="35"/>
      <c r="T8" s="693" t="s">
        <v>1998</v>
      </c>
      <c r="U8" s="59">
        <f>SUM(U9:U11)</f>
        <v>26</v>
      </c>
      <c r="V8" s="37"/>
      <c r="W8" s="693" t="s">
        <v>1999</v>
      </c>
      <c r="X8" s="59">
        <f>SUM(X9:X11)</f>
        <v>26</v>
      </c>
      <c r="Y8" s="693" t="s">
        <v>2000</v>
      </c>
      <c r="Z8" s="59">
        <f>SUM(Z9:Z11)</f>
        <v>26</v>
      </c>
      <c r="AA8" s="37"/>
    </row>
    <row r="9" spans="1:27" ht="28">
      <c r="A9" s="685" t="s">
        <v>2001</v>
      </c>
      <c r="B9" s="685" t="s">
        <v>2002</v>
      </c>
      <c r="C9" s="690" t="s">
        <v>23</v>
      </c>
      <c r="D9" s="685"/>
      <c r="E9" s="687" t="s">
        <v>23</v>
      </c>
      <c r="F9" s="685"/>
      <c r="H9" s="691" t="s">
        <v>2003</v>
      </c>
      <c r="I9" s="59">
        <f>COUNTIF(E2:E22,"PASS")</f>
        <v>21</v>
      </c>
      <c r="J9" s="162"/>
      <c r="K9" s="691" t="s">
        <v>2004</v>
      </c>
      <c r="L9" s="220">
        <f>COUNTIF(E32:E53,"PASS")</f>
        <v>22</v>
      </c>
      <c r="M9" s="59"/>
      <c r="N9" s="692" t="s">
        <v>2005</v>
      </c>
      <c r="O9" s="254">
        <f>COUNTIF(I32:I53,"PASS")</f>
        <v>21</v>
      </c>
      <c r="P9" s="59"/>
      <c r="Q9" s="693" t="s">
        <v>2006</v>
      </c>
      <c r="R9" s="59">
        <f>COUNTIF(K32:K53,"PASS")</f>
        <v>21</v>
      </c>
      <c r="S9" s="35"/>
      <c r="T9" s="693" t="s">
        <v>2007</v>
      </c>
      <c r="U9" s="59">
        <f>COUNTIF(E68:E93,"PASS")</f>
        <v>22</v>
      </c>
      <c r="V9" s="37"/>
      <c r="W9" s="693" t="s">
        <v>2008</v>
      </c>
      <c r="X9" s="59">
        <f>COUNTIF(E106:E131,"PASS")</f>
        <v>26</v>
      </c>
      <c r="Y9" s="693" t="s">
        <v>2009</v>
      </c>
      <c r="Z9" s="59">
        <f>COUNTIF(I106:I131,"PASS")</f>
        <v>26</v>
      </c>
      <c r="AA9" s="37"/>
    </row>
    <row r="10" spans="1:27" ht="28">
      <c r="A10" s="685" t="s">
        <v>2010</v>
      </c>
      <c r="B10" s="685" t="s">
        <v>2011</v>
      </c>
      <c r="C10" s="690" t="s">
        <v>23</v>
      </c>
      <c r="D10" s="685"/>
      <c r="E10" s="687" t="s">
        <v>23</v>
      </c>
      <c r="F10" s="685"/>
      <c r="H10" s="691" t="s">
        <v>2012</v>
      </c>
      <c r="I10" s="59">
        <f>COUNTIF(E2:E22,"FAIL")</f>
        <v>0</v>
      </c>
      <c r="J10" s="162"/>
      <c r="K10" s="691" t="s">
        <v>2013</v>
      </c>
      <c r="L10" s="220">
        <f>COUNTIF(E32:E53,"FAIL")</f>
        <v>0</v>
      </c>
      <c r="M10" s="59"/>
      <c r="N10" s="692" t="s">
        <v>2014</v>
      </c>
      <c r="O10" s="254">
        <f>COUNTIF(I32:I53,"FAIL")</f>
        <v>1</v>
      </c>
      <c r="P10" s="59"/>
      <c r="Q10" s="693" t="s">
        <v>2015</v>
      </c>
      <c r="R10" s="59">
        <f>COUNTIF(K32:K53,"FAIL")</f>
        <v>1</v>
      </c>
      <c r="S10" s="35"/>
      <c r="T10" s="693" t="s">
        <v>2016</v>
      </c>
      <c r="U10" s="59">
        <f>COUNTIF(E68:E93,"FAIL")</f>
        <v>4</v>
      </c>
      <c r="V10" s="37"/>
      <c r="W10" s="693" t="s">
        <v>2017</v>
      </c>
      <c r="X10" s="59">
        <f>COUNTIF(E106:E131,"FAIL")</f>
        <v>0</v>
      </c>
      <c r="Y10" s="693" t="s">
        <v>2018</v>
      </c>
      <c r="Z10" s="59">
        <f>COUNTIF(I106:I131,"FAIL")</f>
        <v>0</v>
      </c>
      <c r="AA10" s="37"/>
    </row>
    <row r="11" spans="1:27" ht="28">
      <c r="A11" s="685" t="s">
        <v>2019</v>
      </c>
      <c r="B11" s="694" t="s">
        <v>2020</v>
      </c>
      <c r="C11" s="690" t="s">
        <v>23</v>
      </c>
      <c r="D11" s="685"/>
      <c r="E11" s="687" t="s">
        <v>23</v>
      </c>
      <c r="F11" s="685"/>
      <c r="H11" s="691" t="s">
        <v>1985</v>
      </c>
      <c r="I11" s="59">
        <f>COUNTIF(E2:E22,"NT")</f>
        <v>0</v>
      </c>
      <c r="J11" s="162"/>
      <c r="K11" s="691" t="s">
        <v>1986</v>
      </c>
      <c r="L11" s="220">
        <f>COUNTIF(E32:E53,"NT")</f>
        <v>0</v>
      </c>
      <c r="M11" s="59"/>
      <c r="N11" s="692" t="s">
        <v>1987</v>
      </c>
      <c r="O11" s="254">
        <f>COUNTIF(I32:I53,"NT")</f>
        <v>0</v>
      </c>
      <c r="P11" s="59"/>
      <c r="Q11" s="693" t="s">
        <v>1988</v>
      </c>
      <c r="R11" s="59">
        <f>COUNTIF(K32:K53,"NT")</f>
        <v>0</v>
      </c>
      <c r="S11" s="35"/>
      <c r="T11" s="693" t="s">
        <v>1989</v>
      </c>
      <c r="U11" s="59">
        <f>COUNTIF(E68:E93,"NT")</f>
        <v>0</v>
      </c>
      <c r="V11" s="37"/>
      <c r="W11" s="693" t="s">
        <v>1990</v>
      </c>
      <c r="X11" s="59">
        <f>COUNTIF(E106:E131,"NT")</f>
        <v>0</v>
      </c>
      <c r="Y11" s="693" t="s">
        <v>1991</v>
      </c>
      <c r="Z11" s="59">
        <f>COUNTIF(I106:I131,"NT")</f>
        <v>0</v>
      </c>
      <c r="AA11" s="37"/>
    </row>
    <row r="12" spans="1:27" ht="28">
      <c r="A12" s="685" t="s">
        <v>2021</v>
      </c>
      <c r="B12" s="685" t="s">
        <v>2022</v>
      </c>
      <c r="C12" s="690" t="s">
        <v>23</v>
      </c>
      <c r="D12" s="685"/>
      <c r="E12" s="687" t="s">
        <v>23</v>
      </c>
      <c r="F12" s="695"/>
    </row>
    <row r="13" spans="1:27" ht="28">
      <c r="A13" s="685" t="s">
        <v>2023</v>
      </c>
      <c r="B13" s="685" t="s">
        <v>2024</v>
      </c>
      <c r="C13" s="690" t="s">
        <v>23</v>
      </c>
      <c r="D13" s="685"/>
      <c r="E13" s="687" t="s">
        <v>23</v>
      </c>
      <c r="F13" s="685"/>
    </row>
    <row r="14" spans="1:27" ht="28">
      <c r="A14" s="685" t="s">
        <v>2025</v>
      </c>
      <c r="B14" s="685" t="s">
        <v>2026</v>
      </c>
      <c r="C14" s="690" t="s">
        <v>23</v>
      </c>
      <c r="D14" s="685"/>
      <c r="E14" s="687" t="s">
        <v>23</v>
      </c>
      <c r="F14" s="685"/>
    </row>
    <row r="15" spans="1:27" ht="28">
      <c r="A15" s="685" t="s">
        <v>2027</v>
      </c>
      <c r="B15" s="685" t="s">
        <v>2028</v>
      </c>
      <c r="C15" s="690" t="s">
        <v>23</v>
      </c>
      <c r="D15" s="685"/>
      <c r="E15" s="687" t="s">
        <v>23</v>
      </c>
      <c r="F15" s="685"/>
    </row>
    <row r="16" spans="1:27" ht="28">
      <c r="A16" s="685" t="s">
        <v>2029</v>
      </c>
      <c r="B16" s="685" t="s">
        <v>2030</v>
      </c>
      <c r="C16" s="690" t="s">
        <v>23</v>
      </c>
      <c r="D16" s="685"/>
      <c r="E16" s="687" t="s">
        <v>23</v>
      </c>
      <c r="F16" s="685"/>
    </row>
    <row r="17" spans="1:27" ht="28">
      <c r="A17" s="685" t="s">
        <v>2031</v>
      </c>
      <c r="B17" s="685" t="s">
        <v>2032</v>
      </c>
      <c r="C17" s="690" t="s">
        <v>23</v>
      </c>
      <c r="D17" s="685"/>
      <c r="E17" s="687" t="s">
        <v>23</v>
      </c>
      <c r="F17" s="685"/>
    </row>
    <row r="18" spans="1:27" ht="28">
      <c r="A18" s="685" t="s">
        <v>2033</v>
      </c>
      <c r="B18" s="685" t="s">
        <v>2034</v>
      </c>
      <c r="C18" s="690" t="s">
        <v>23</v>
      </c>
      <c r="D18" s="685"/>
      <c r="E18" s="687" t="s">
        <v>23</v>
      </c>
      <c r="F18" s="685"/>
      <c r="H18" s="696" t="s">
        <v>2035</v>
      </c>
      <c r="I18" s="37">
        <f>SUM(I4,L4,O4,R4,U4,X4,I8,L8,O8,R8,U8,X8,Z4,Z8)</f>
        <v>330</v>
      </c>
    </row>
    <row r="19" spans="1:27" ht="28">
      <c r="A19" s="685" t="s">
        <v>2036</v>
      </c>
      <c r="B19" s="685" t="s">
        <v>2037</v>
      </c>
      <c r="C19" s="697" t="s">
        <v>23</v>
      </c>
      <c r="D19" s="685"/>
      <c r="E19" s="687" t="s">
        <v>23</v>
      </c>
      <c r="F19" s="685"/>
      <c r="H19" s="696" t="s">
        <v>23</v>
      </c>
      <c r="I19" s="37">
        <f>SUM(I5,I9,L5,L9,O5,O9,R5,R9,U5,U9,X5,X9,Z5,Z9)</f>
        <v>318</v>
      </c>
    </row>
    <row r="20" spans="1:27" ht="28">
      <c r="A20" s="685" t="s">
        <v>2038</v>
      </c>
      <c r="B20" s="685" t="s">
        <v>2039</v>
      </c>
      <c r="C20" s="698" t="s">
        <v>23</v>
      </c>
      <c r="D20" s="685"/>
      <c r="E20" s="687" t="s">
        <v>23</v>
      </c>
      <c r="F20" s="685"/>
      <c r="H20" s="696" t="s">
        <v>64</v>
      </c>
      <c r="I20" s="37">
        <f>SUM(I6,I10,L6,L10,O6,O10,R6,R10,U6,U10,X6,X10,Z10)</f>
        <v>12</v>
      </c>
    </row>
    <row r="21" spans="1:27" ht="28">
      <c r="A21" s="685" t="s">
        <v>2040</v>
      </c>
      <c r="B21" s="685" t="s">
        <v>2041</v>
      </c>
      <c r="C21" s="697" t="s">
        <v>23</v>
      </c>
      <c r="D21" s="685"/>
      <c r="E21" s="687" t="s">
        <v>23</v>
      </c>
      <c r="F21" s="685"/>
      <c r="H21" s="696" t="s">
        <v>2042</v>
      </c>
      <c r="I21" s="37">
        <f>SUM(I7,I11,L7,L11,O7,O11,R7,R11,U7,U11,X7,X11,Z11)</f>
        <v>0</v>
      </c>
    </row>
    <row r="22" spans="1:27" ht="28">
      <c r="A22" s="685" t="s">
        <v>2043</v>
      </c>
      <c r="B22" s="685" t="s">
        <v>2044</v>
      </c>
      <c r="C22" s="698" t="s">
        <v>23</v>
      </c>
      <c r="D22" s="685"/>
      <c r="E22" s="687" t="s">
        <v>23</v>
      </c>
      <c r="F22" s="685"/>
      <c r="G22" s="35"/>
      <c r="H22" s="684"/>
      <c r="I22" s="684"/>
      <c r="J22" s="684"/>
      <c r="K22" s="684"/>
      <c r="L22" s="684"/>
      <c r="M22" s="684"/>
      <c r="N22" s="684"/>
      <c r="O22" s="684"/>
      <c r="P22" s="684"/>
      <c r="Q22" s="684"/>
      <c r="R22" s="684"/>
      <c r="S22" s="684"/>
      <c r="T22" s="684"/>
      <c r="U22" s="684"/>
      <c r="V22" s="684"/>
      <c r="W22" s="684"/>
      <c r="X22" s="684"/>
      <c r="Y22" s="684"/>
      <c r="Z22" s="684"/>
      <c r="AA22" s="684"/>
    </row>
    <row r="23" spans="1:27" ht="14">
      <c r="A23" s="684"/>
      <c r="B23" s="684"/>
      <c r="C23" s="35"/>
      <c r="D23" s="684"/>
      <c r="E23" s="35"/>
      <c r="F23" s="684"/>
      <c r="G23" s="35"/>
      <c r="H23" s="684"/>
      <c r="I23" s="684"/>
      <c r="J23" s="684"/>
      <c r="K23" s="684"/>
      <c r="L23" s="684"/>
      <c r="M23" s="684"/>
      <c r="N23" s="684"/>
      <c r="O23" s="684"/>
      <c r="P23" s="684"/>
      <c r="Q23" s="684"/>
      <c r="R23" s="684"/>
      <c r="S23" s="684"/>
      <c r="T23" s="684"/>
      <c r="U23" s="684"/>
      <c r="V23" s="684"/>
      <c r="W23" s="684"/>
      <c r="X23" s="684"/>
      <c r="Y23" s="684"/>
      <c r="Z23" s="684"/>
      <c r="AA23" s="684"/>
    </row>
    <row r="24" spans="1:27" ht="21">
      <c r="A24" s="684"/>
      <c r="B24" s="684"/>
      <c r="C24" s="35"/>
      <c r="D24" s="684"/>
      <c r="E24" s="35"/>
      <c r="F24" s="684"/>
      <c r="G24" s="35"/>
      <c r="H24" s="699" t="s">
        <v>9</v>
      </c>
      <c r="I24" s="700" t="s">
        <v>2045</v>
      </c>
      <c r="J24" s="684"/>
      <c r="K24" s="684"/>
      <c r="L24" s="684"/>
      <c r="M24" s="684"/>
      <c r="N24" s="684"/>
      <c r="O24" s="684"/>
      <c r="P24" s="684"/>
      <c r="Q24" s="684"/>
      <c r="R24" s="684"/>
      <c r="S24" s="684"/>
      <c r="T24" s="684"/>
      <c r="U24" s="684"/>
      <c r="V24" s="684"/>
      <c r="W24" s="684"/>
      <c r="X24" s="684"/>
      <c r="Y24" s="684"/>
      <c r="Z24" s="684"/>
      <c r="AA24" s="684"/>
    </row>
    <row r="25" spans="1:27" ht="14">
      <c r="A25" s="684"/>
      <c r="B25" s="684"/>
      <c r="C25" s="35"/>
      <c r="D25" s="684"/>
      <c r="E25" s="35"/>
      <c r="F25" s="684"/>
      <c r="G25" s="35"/>
      <c r="H25" s="684"/>
      <c r="I25" s="684"/>
      <c r="J25" s="684"/>
      <c r="K25" s="684"/>
      <c r="L25" s="684"/>
      <c r="M25" s="684"/>
      <c r="N25" s="684"/>
      <c r="O25" s="684"/>
      <c r="P25" s="684"/>
      <c r="Q25" s="684"/>
      <c r="R25" s="684"/>
      <c r="S25" s="684"/>
      <c r="T25" s="684"/>
      <c r="U25" s="684"/>
      <c r="V25" s="684"/>
      <c r="W25" s="684"/>
      <c r="X25" s="684"/>
      <c r="Y25" s="684"/>
      <c r="Z25" s="684"/>
      <c r="AA25" s="684"/>
    </row>
    <row r="26" spans="1:27" ht="14">
      <c r="A26" s="684"/>
      <c r="B26" s="684"/>
      <c r="C26" s="35"/>
      <c r="D26" s="684"/>
      <c r="E26" s="35"/>
      <c r="F26" s="684"/>
      <c r="G26" s="35"/>
      <c r="H26" s="684"/>
      <c r="I26" s="684"/>
      <c r="J26" s="684"/>
      <c r="K26" s="684"/>
      <c r="L26" s="684"/>
      <c r="M26" s="684"/>
      <c r="N26" s="684"/>
      <c r="O26" s="684"/>
      <c r="P26" s="684"/>
      <c r="Q26" s="684"/>
      <c r="R26" s="684"/>
      <c r="S26" s="684"/>
      <c r="T26" s="684"/>
      <c r="U26" s="684"/>
      <c r="V26" s="684"/>
      <c r="W26" s="684"/>
      <c r="X26" s="684"/>
      <c r="Y26" s="684"/>
      <c r="Z26" s="684"/>
      <c r="AA26" s="684"/>
    </row>
    <row r="27" spans="1:27" ht="14">
      <c r="A27" s="684"/>
      <c r="B27" s="684"/>
      <c r="C27" s="35"/>
      <c r="D27" s="684"/>
      <c r="E27" s="35"/>
      <c r="F27" s="684"/>
      <c r="G27" s="35"/>
      <c r="H27" s="684"/>
      <c r="I27" s="684"/>
      <c r="J27" s="684"/>
      <c r="K27" s="684"/>
      <c r="L27" s="684"/>
      <c r="M27" s="684"/>
      <c r="N27" s="684"/>
      <c r="O27" s="684"/>
      <c r="P27" s="684"/>
      <c r="Q27" s="684"/>
      <c r="R27" s="684"/>
      <c r="S27" s="684"/>
      <c r="T27" s="684"/>
      <c r="U27" s="684"/>
      <c r="V27" s="684"/>
      <c r="W27" s="684"/>
      <c r="X27" s="684"/>
      <c r="Y27" s="684"/>
      <c r="Z27" s="684"/>
      <c r="AA27" s="684"/>
    </row>
    <row r="28" spans="1:27" ht="14">
      <c r="A28" s="684"/>
      <c r="B28" s="684"/>
      <c r="C28" s="35"/>
      <c r="D28" s="684"/>
      <c r="E28" s="35"/>
      <c r="F28" s="684"/>
      <c r="G28" s="35"/>
      <c r="H28" s="684"/>
      <c r="I28" s="684"/>
      <c r="J28" s="684"/>
      <c r="K28" s="684"/>
      <c r="L28" s="684"/>
      <c r="M28" s="684"/>
      <c r="N28" s="684"/>
      <c r="O28" s="684"/>
      <c r="P28" s="684"/>
      <c r="Q28" s="684"/>
      <c r="R28" s="684"/>
      <c r="S28" s="684"/>
      <c r="T28" s="684"/>
      <c r="U28" s="684"/>
      <c r="V28" s="684"/>
      <c r="W28" s="684"/>
      <c r="X28" s="684"/>
      <c r="Y28" s="684"/>
      <c r="Z28" s="684"/>
      <c r="AA28" s="684"/>
    </row>
    <row r="29" spans="1:27" ht="14">
      <c r="A29" s="684"/>
      <c r="B29" s="684"/>
      <c r="C29" s="35"/>
      <c r="D29" s="684"/>
      <c r="E29" s="35"/>
      <c r="F29" s="684"/>
      <c r="G29" s="35"/>
      <c r="H29" s="684"/>
      <c r="I29" s="684"/>
      <c r="J29" s="684"/>
      <c r="K29" s="684"/>
      <c r="L29" s="684"/>
      <c r="M29" s="684"/>
      <c r="N29" s="684"/>
      <c r="O29" s="684"/>
      <c r="P29" s="684"/>
      <c r="Q29" s="684"/>
      <c r="R29" s="684"/>
      <c r="S29" s="684"/>
      <c r="T29" s="684"/>
      <c r="U29" s="684"/>
      <c r="V29" s="684"/>
      <c r="W29" s="684"/>
      <c r="X29" s="684"/>
      <c r="Y29" s="684"/>
      <c r="Z29" s="684"/>
      <c r="AA29" s="684"/>
    </row>
    <row r="30" spans="1:27" ht="14">
      <c r="A30" s="684"/>
      <c r="B30" s="684"/>
      <c r="C30" s="35"/>
      <c r="D30" s="684"/>
      <c r="E30" s="35"/>
      <c r="F30" s="684"/>
      <c r="G30" s="35"/>
      <c r="H30" s="684"/>
      <c r="I30" s="684"/>
      <c r="J30" s="684"/>
      <c r="K30" s="684"/>
      <c r="L30" s="684"/>
      <c r="M30" s="684"/>
      <c r="N30" s="684"/>
      <c r="O30" s="684"/>
      <c r="P30" s="684"/>
      <c r="Q30" s="684"/>
      <c r="R30" s="684"/>
      <c r="S30" s="684"/>
      <c r="T30" s="684"/>
      <c r="U30" s="684"/>
      <c r="V30" s="684"/>
      <c r="W30" s="684"/>
      <c r="X30" s="684"/>
      <c r="Y30" s="684"/>
      <c r="Z30" s="684"/>
      <c r="AA30" s="684"/>
    </row>
    <row r="31" spans="1:27" ht="42">
      <c r="A31" s="680"/>
      <c r="B31" s="680" t="s">
        <v>1945</v>
      </c>
      <c r="C31" s="681" t="s">
        <v>2046</v>
      </c>
      <c r="D31" s="701" t="s">
        <v>1947</v>
      </c>
      <c r="E31" s="681" t="s">
        <v>2047</v>
      </c>
      <c r="F31" s="701" t="s">
        <v>1949</v>
      </c>
      <c r="G31" s="681" t="s">
        <v>2048</v>
      </c>
      <c r="H31" s="701" t="s">
        <v>1947</v>
      </c>
      <c r="I31" s="701" t="s">
        <v>2049</v>
      </c>
      <c r="J31" s="701" t="s">
        <v>1949</v>
      </c>
      <c r="K31" s="701" t="s">
        <v>2050</v>
      </c>
      <c r="L31" s="701" t="s">
        <v>1947</v>
      </c>
      <c r="M31" s="701" t="s">
        <v>2051</v>
      </c>
      <c r="N31" s="701" t="s">
        <v>1949</v>
      </c>
      <c r="O31" s="684"/>
      <c r="P31" s="684"/>
      <c r="Q31" s="684"/>
      <c r="R31" s="684"/>
      <c r="S31" s="684"/>
      <c r="T31" s="684"/>
      <c r="U31" s="684"/>
      <c r="V31" s="684"/>
      <c r="W31" s="684"/>
      <c r="X31" s="684"/>
      <c r="Y31" s="684"/>
      <c r="Z31" s="684"/>
      <c r="AA31" s="684"/>
    </row>
    <row r="32" spans="1:27" ht="28">
      <c r="A32" s="702" t="s">
        <v>2052</v>
      </c>
      <c r="B32" s="702" t="s">
        <v>2053</v>
      </c>
      <c r="C32" s="698" t="s">
        <v>23</v>
      </c>
      <c r="D32" s="703"/>
      <c r="E32" s="698" t="s">
        <v>23</v>
      </c>
      <c r="F32" s="704"/>
      <c r="G32" s="705" t="s">
        <v>23</v>
      </c>
      <c r="H32" s="704"/>
      <c r="I32" s="705" t="s">
        <v>23</v>
      </c>
      <c r="J32" s="704"/>
      <c r="K32" s="705" t="s">
        <v>23</v>
      </c>
      <c r="L32" s="704"/>
      <c r="M32" s="705" t="s">
        <v>23</v>
      </c>
      <c r="N32" s="706"/>
      <c r="O32" s="684"/>
      <c r="P32" s="684"/>
      <c r="Q32" s="684"/>
      <c r="R32" s="684"/>
      <c r="S32" s="684"/>
      <c r="T32" s="684"/>
      <c r="U32" s="684"/>
      <c r="V32" s="684"/>
      <c r="W32" s="684"/>
      <c r="X32" s="684"/>
      <c r="Y32" s="684"/>
      <c r="Z32" s="684"/>
      <c r="AA32" s="684"/>
    </row>
    <row r="33" spans="1:27" ht="28">
      <c r="A33" s="702" t="s">
        <v>2054</v>
      </c>
      <c r="B33" s="702" t="s">
        <v>2055</v>
      </c>
      <c r="C33" s="698" t="s">
        <v>23</v>
      </c>
      <c r="D33" s="707"/>
      <c r="E33" s="698" t="s">
        <v>23</v>
      </c>
      <c r="F33" s="685"/>
      <c r="G33" s="705" t="s">
        <v>23</v>
      </c>
      <c r="H33" s="685"/>
      <c r="I33" s="705" t="s">
        <v>23</v>
      </c>
      <c r="J33" s="685"/>
      <c r="K33" s="705" t="s">
        <v>23</v>
      </c>
      <c r="L33" s="685"/>
      <c r="M33" s="705" t="s">
        <v>23</v>
      </c>
      <c r="N33" s="702"/>
      <c r="O33" s="684"/>
      <c r="P33" s="684"/>
      <c r="Q33" s="684"/>
      <c r="R33" s="684"/>
      <c r="S33" s="684"/>
      <c r="T33" s="684"/>
      <c r="U33" s="684"/>
      <c r="V33" s="684"/>
      <c r="W33" s="684"/>
      <c r="X33" s="684"/>
      <c r="Y33" s="684"/>
      <c r="Z33" s="684"/>
      <c r="AA33" s="684"/>
    </row>
    <row r="34" spans="1:27" ht="28">
      <c r="A34" s="702" t="s">
        <v>2056</v>
      </c>
      <c r="B34" s="702" t="s">
        <v>2057</v>
      </c>
      <c r="C34" s="698" t="s">
        <v>23</v>
      </c>
      <c r="D34" s="707"/>
      <c r="E34" s="698" t="s">
        <v>23</v>
      </c>
      <c r="F34" s="685"/>
      <c r="G34" s="705" t="s">
        <v>23</v>
      </c>
      <c r="H34" s="685"/>
      <c r="I34" s="705" t="s">
        <v>23</v>
      </c>
      <c r="J34" s="685"/>
      <c r="K34" s="705" t="s">
        <v>23</v>
      </c>
      <c r="L34" s="685"/>
      <c r="M34" s="705" t="s">
        <v>23</v>
      </c>
      <c r="N34" s="702"/>
      <c r="O34" s="684"/>
      <c r="P34" s="684"/>
      <c r="Q34" s="684"/>
      <c r="R34" s="684"/>
      <c r="S34" s="684"/>
      <c r="T34" s="684"/>
      <c r="U34" s="684"/>
      <c r="V34" s="684"/>
      <c r="W34" s="684"/>
      <c r="X34" s="684"/>
      <c r="Y34" s="684"/>
      <c r="Z34" s="684"/>
      <c r="AA34" s="684"/>
    </row>
    <row r="35" spans="1:27" ht="28">
      <c r="A35" s="702" t="s">
        <v>2058</v>
      </c>
      <c r="B35" s="702" t="s">
        <v>2059</v>
      </c>
      <c r="C35" s="698" t="s">
        <v>23</v>
      </c>
      <c r="D35" s="707"/>
      <c r="E35" s="698" t="s">
        <v>23</v>
      </c>
      <c r="F35" s="685"/>
      <c r="G35" s="705" t="s">
        <v>23</v>
      </c>
      <c r="H35" s="685"/>
      <c r="I35" s="705" t="s">
        <v>23</v>
      </c>
      <c r="J35" s="685"/>
      <c r="K35" s="705" t="s">
        <v>23</v>
      </c>
      <c r="L35" s="685"/>
      <c r="M35" s="705" t="s">
        <v>23</v>
      </c>
      <c r="N35" s="702"/>
      <c r="O35" s="684"/>
      <c r="P35" s="684"/>
      <c r="Q35" s="684"/>
      <c r="R35" s="684"/>
      <c r="S35" s="684"/>
      <c r="T35" s="684"/>
      <c r="U35" s="684"/>
      <c r="V35" s="684"/>
      <c r="W35" s="684"/>
      <c r="X35" s="684"/>
      <c r="Y35" s="684"/>
      <c r="Z35" s="684"/>
      <c r="AA35" s="684"/>
    </row>
    <row r="36" spans="1:27" ht="28">
      <c r="A36" s="702" t="s">
        <v>2060</v>
      </c>
      <c r="B36" s="702" t="s">
        <v>2061</v>
      </c>
      <c r="C36" s="698" t="s">
        <v>23</v>
      </c>
      <c r="D36" s="707"/>
      <c r="E36" s="698" t="s">
        <v>23</v>
      </c>
      <c r="F36" s="685"/>
      <c r="G36" s="705" t="s">
        <v>23</v>
      </c>
      <c r="H36" s="685"/>
      <c r="I36" s="705" t="s">
        <v>23</v>
      </c>
      <c r="J36" s="685"/>
      <c r="K36" s="705" t="s">
        <v>23</v>
      </c>
      <c r="L36" s="685"/>
      <c r="M36" s="705" t="s">
        <v>23</v>
      </c>
      <c r="N36" s="702"/>
      <c r="O36" s="684"/>
      <c r="P36" s="684"/>
      <c r="Q36" s="684"/>
      <c r="R36" s="684"/>
      <c r="S36" s="684"/>
      <c r="T36" s="684"/>
      <c r="U36" s="684"/>
      <c r="V36" s="684"/>
      <c r="W36" s="684"/>
      <c r="X36" s="684"/>
      <c r="Y36" s="684"/>
      <c r="Z36" s="684"/>
      <c r="AA36" s="684"/>
    </row>
    <row r="37" spans="1:27" ht="28">
      <c r="A37" s="702" t="s">
        <v>2062</v>
      </c>
      <c r="B37" s="702" t="s">
        <v>2063</v>
      </c>
      <c r="C37" s="698" t="s">
        <v>23</v>
      </c>
      <c r="D37" s="707"/>
      <c r="E37" s="698" t="s">
        <v>23</v>
      </c>
      <c r="F37" s="685"/>
      <c r="G37" s="705" t="s">
        <v>23</v>
      </c>
      <c r="H37" s="685"/>
      <c r="I37" s="705" t="s">
        <v>23</v>
      </c>
      <c r="J37" s="685"/>
      <c r="K37" s="705" t="s">
        <v>23</v>
      </c>
      <c r="L37" s="685"/>
      <c r="M37" s="705" t="s">
        <v>23</v>
      </c>
      <c r="N37" s="702"/>
      <c r="O37" s="684"/>
      <c r="P37" s="684"/>
      <c r="Q37" s="684"/>
      <c r="R37" s="684"/>
      <c r="S37" s="684"/>
      <c r="T37" s="684"/>
      <c r="U37" s="684"/>
      <c r="V37" s="684"/>
      <c r="W37" s="684"/>
      <c r="X37" s="684"/>
      <c r="Y37" s="684"/>
      <c r="Z37" s="684"/>
      <c r="AA37" s="684"/>
    </row>
    <row r="38" spans="1:27" ht="28">
      <c r="A38" s="702" t="s">
        <v>2064</v>
      </c>
      <c r="B38" s="702" t="s">
        <v>2065</v>
      </c>
      <c r="C38" s="698" t="s">
        <v>23</v>
      </c>
      <c r="D38" s="707"/>
      <c r="E38" s="698" t="s">
        <v>23</v>
      </c>
      <c r="F38" s="685"/>
      <c r="G38" s="705" t="s">
        <v>23</v>
      </c>
      <c r="H38" s="685"/>
      <c r="I38" s="705" t="s">
        <v>23</v>
      </c>
      <c r="J38" s="685"/>
      <c r="K38" s="705" t="s">
        <v>23</v>
      </c>
      <c r="L38" s="685"/>
      <c r="M38" s="705" t="s">
        <v>23</v>
      </c>
      <c r="N38" s="702"/>
      <c r="O38" s="684"/>
      <c r="P38" s="684"/>
      <c r="Q38" s="684"/>
      <c r="R38" s="684"/>
      <c r="S38" s="684"/>
      <c r="T38" s="684"/>
      <c r="U38" s="684"/>
      <c r="V38" s="684"/>
      <c r="W38" s="684"/>
      <c r="X38" s="684"/>
      <c r="Y38" s="684"/>
      <c r="Z38" s="684"/>
      <c r="AA38" s="684"/>
    </row>
    <row r="39" spans="1:27" ht="28">
      <c r="A39" s="702" t="s">
        <v>2066</v>
      </c>
      <c r="B39" s="702" t="s">
        <v>2067</v>
      </c>
      <c r="C39" s="698" t="s">
        <v>23</v>
      </c>
      <c r="D39" s="707"/>
      <c r="E39" s="698" t="s">
        <v>23</v>
      </c>
      <c r="F39" s="685"/>
      <c r="G39" s="705" t="s">
        <v>23</v>
      </c>
      <c r="H39" s="685"/>
      <c r="I39" s="705" t="s">
        <v>23</v>
      </c>
      <c r="J39" s="685"/>
      <c r="K39" s="705" t="s">
        <v>23</v>
      </c>
      <c r="L39" s="685"/>
      <c r="M39" s="705" t="s">
        <v>23</v>
      </c>
      <c r="N39" s="708"/>
      <c r="O39" s="684"/>
      <c r="P39" s="684"/>
      <c r="Q39" s="684"/>
      <c r="R39" s="684"/>
      <c r="S39" s="684"/>
      <c r="T39" s="684"/>
      <c r="U39" s="684"/>
      <c r="V39" s="684"/>
      <c r="W39" s="684"/>
      <c r="X39" s="684"/>
      <c r="Y39" s="684"/>
      <c r="Z39" s="684"/>
      <c r="AA39" s="684"/>
    </row>
    <row r="40" spans="1:27" ht="28">
      <c r="A40" s="702" t="s">
        <v>2068</v>
      </c>
      <c r="B40" s="702" t="s">
        <v>2069</v>
      </c>
      <c r="C40" s="698" t="s">
        <v>23</v>
      </c>
      <c r="D40" s="707"/>
      <c r="E40" s="698" t="s">
        <v>23</v>
      </c>
      <c r="F40" s="685"/>
      <c r="G40" s="705" t="s">
        <v>23</v>
      </c>
      <c r="H40" s="685"/>
      <c r="I40" s="705" t="s">
        <v>23</v>
      </c>
      <c r="J40" s="685"/>
      <c r="K40" s="705" t="s">
        <v>23</v>
      </c>
      <c r="L40" s="685"/>
      <c r="M40" s="705" t="s">
        <v>23</v>
      </c>
      <c r="N40" s="702"/>
      <c r="O40" s="684"/>
      <c r="P40" s="684"/>
      <c r="Q40" s="684"/>
      <c r="R40" s="684"/>
      <c r="S40" s="684"/>
      <c r="T40" s="684"/>
      <c r="U40" s="684"/>
      <c r="V40" s="684"/>
      <c r="W40" s="684"/>
      <c r="X40" s="684"/>
      <c r="Y40" s="684"/>
      <c r="Z40" s="684"/>
      <c r="AA40" s="684"/>
    </row>
    <row r="41" spans="1:27" ht="28">
      <c r="A41" s="702" t="s">
        <v>2070</v>
      </c>
      <c r="B41" s="702" t="s">
        <v>2071</v>
      </c>
      <c r="C41" s="698" t="s">
        <v>23</v>
      </c>
      <c r="D41" s="685"/>
      <c r="E41" s="698" t="s">
        <v>23</v>
      </c>
      <c r="F41" s="685"/>
      <c r="G41" s="709" t="s">
        <v>23</v>
      </c>
      <c r="H41" s="685"/>
      <c r="I41" s="705" t="s">
        <v>23</v>
      </c>
      <c r="J41" s="685"/>
      <c r="K41" s="709" t="s">
        <v>23</v>
      </c>
      <c r="L41" s="685"/>
      <c r="M41" s="709" t="s">
        <v>23</v>
      </c>
      <c r="N41" s="702"/>
      <c r="O41" s="684"/>
      <c r="P41" s="684"/>
      <c r="Q41" s="684"/>
      <c r="R41" s="684"/>
      <c r="S41" s="684"/>
      <c r="T41" s="684"/>
      <c r="U41" s="684"/>
      <c r="V41" s="684"/>
      <c r="W41" s="684"/>
      <c r="X41" s="684"/>
      <c r="Y41" s="684"/>
      <c r="Z41" s="684"/>
      <c r="AA41" s="684"/>
    </row>
    <row r="42" spans="1:27" ht="28">
      <c r="A42" s="702" t="s">
        <v>2072</v>
      </c>
      <c r="B42" s="702" t="s">
        <v>2073</v>
      </c>
      <c r="C42" s="698" t="s">
        <v>23</v>
      </c>
      <c r="D42" s="685"/>
      <c r="E42" s="698" t="s">
        <v>23</v>
      </c>
      <c r="F42" s="695"/>
      <c r="G42" s="709" t="s">
        <v>23</v>
      </c>
      <c r="H42" s="685"/>
      <c r="I42" s="705" t="s">
        <v>23</v>
      </c>
      <c r="J42" s="695"/>
      <c r="K42" s="709" t="s">
        <v>23</v>
      </c>
      <c r="L42" s="685"/>
      <c r="M42" s="709" t="s">
        <v>23</v>
      </c>
      <c r="N42" s="700"/>
      <c r="O42" s="684"/>
      <c r="P42" s="684"/>
      <c r="Q42" s="684"/>
      <c r="R42" s="684"/>
      <c r="S42" s="684"/>
      <c r="T42" s="684"/>
      <c r="U42" s="684"/>
      <c r="V42" s="684"/>
      <c r="W42" s="684"/>
      <c r="X42" s="684"/>
      <c r="Y42" s="684"/>
      <c r="Z42" s="684"/>
      <c r="AA42" s="684"/>
    </row>
    <row r="43" spans="1:27" ht="28">
      <c r="A43" s="702" t="s">
        <v>2074</v>
      </c>
      <c r="B43" s="702" t="s">
        <v>2075</v>
      </c>
      <c r="C43" s="698" t="s">
        <v>23</v>
      </c>
      <c r="D43" s="685"/>
      <c r="E43" s="698" t="s">
        <v>23</v>
      </c>
      <c r="F43" s="685"/>
      <c r="G43" s="709" t="s">
        <v>23</v>
      </c>
      <c r="H43" s="685"/>
      <c r="I43" s="705" t="s">
        <v>23</v>
      </c>
      <c r="J43" s="685"/>
      <c r="K43" s="709" t="s">
        <v>23</v>
      </c>
      <c r="L43" s="685"/>
      <c r="M43" s="709" t="s">
        <v>23</v>
      </c>
      <c r="N43" s="702"/>
      <c r="O43" s="684"/>
      <c r="P43" s="684"/>
      <c r="Q43" s="684"/>
      <c r="R43" s="684"/>
      <c r="S43" s="684"/>
      <c r="T43" s="684"/>
      <c r="U43" s="684"/>
      <c r="V43" s="684"/>
      <c r="W43" s="684"/>
      <c r="X43" s="684"/>
      <c r="Y43" s="684"/>
      <c r="Z43" s="684"/>
      <c r="AA43" s="684"/>
    </row>
    <row r="44" spans="1:27" ht="28">
      <c r="A44" s="702" t="s">
        <v>2076</v>
      </c>
      <c r="B44" s="702" t="s">
        <v>2077</v>
      </c>
      <c r="C44" s="698" t="s">
        <v>23</v>
      </c>
      <c r="D44" s="685"/>
      <c r="E44" s="698" t="s">
        <v>23</v>
      </c>
      <c r="F44" s="685"/>
      <c r="G44" s="709" t="s">
        <v>23</v>
      </c>
      <c r="H44" s="685"/>
      <c r="I44" s="705" t="s">
        <v>23</v>
      </c>
      <c r="J44" s="685"/>
      <c r="K44" s="709" t="s">
        <v>23</v>
      </c>
      <c r="L44" s="685"/>
      <c r="M44" s="709" t="s">
        <v>23</v>
      </c>
      <c r="N44" s="702"/>
      <c r="O44" s="684"/>
      <c r="P44" s="684"/>
      <c r="Q44" s="684"/>
      <c r="R44" s="684"/>
      <c r="S44" s="684"/>
      <c r="T44" s="684"/>
      <c r="U44" s="684"/>
      <c r="V44" s="684"/>
      <c r="W44" s="684"/>
      <c r="X44" s="684"/>
      <c r="Y44" s="684"/>
      <c r="Z44" s="684"/>
      <c r="AA44" s="684"/>
    </row>
    <row r="45" spans="1:27" ht="28">
      <c r="A45" s="702" t="s">
        <v>2078</v>
      </c>
      <c r="B45" s="702" t="s">
        <v>2079</v>
      </c>
      <c r="C45" s="698" t="s">
        <v>23</v>
      </c>
      <c r="D45" s="685"/>
      <c r="E45" s="698" t="s">
        <v>23</v>
      </c>
      <c r="F45" s="685"/>
      <c r="G45" s="709" t="s">
        <v>23</v>
      </c>
      <c r="H45" s="685"/>
      <c r="I45" s="705" t="s">
        <v>23</v>
      </c>
      <c r="J45" s="685"/>
      <c r="K45" s="709" t="s">
        <v>23</v>
      </c>
      <c r="L45" s="685"/>
      <c r="M45" s="709" t="s">
        <v>23</v>
      </c>
      <c r="N45" s="702"/>
      <c r="O45" s="684"/>
      <c r="P45" s="684"/>
      <c r="Q45" s="684"/>
      <c r="R45" s="684"/>
      <c r="S45" s="684"/>
      <c r="T45" s="684"/>
      <c r="U45" s="684"/>
      <c r="V45" s="684"/>
      <c r="W45" s="684"/>
      <c r="X45" s="684"/>
      <c r="Y45" s="684"/>
      <c r="Z45" s="684"/>
      <c r="AA45" s="684"/>
    </row>
    <row r="46" spans="1:27" ht="28">
      <c r="A46" s="702" t="s">
        <v>2080</v>
      </c>
      <c r="B46" s="702" t="s">
        <v>2081</v>
      </c>
      <c r="C46" s="698" t="s">
        <v>23</v>
      </c>
      <c r="D46" s="685"/>
      <c r="E46" s="698" t="s">
        <v>23</v>
      </c>
      <c r="F46" s="685"/>
      <c r="G46" s="709" t="s">
        <v>23</v>
      </c>
      <c r="H46" s="685"/>
      <c r="I46" s="709" t="s">
        <v>23</v>
      </c>
      <c r="J46" s="685"/>
      <c r="K46" s="709" t="s">
        <v>23</v>
      </c>
      <c r="L46" s="685"/>
      <c r="M46" s="709" t="s">
        <v>23</v>
      </c>
      <c r="N46" s="702"/>
      <c r="O46" s="684"/>
      <c r="P46" s="684"/>
      <c r="Q46" s="684"/>
      <c r="R46" s="684"/>
      <c r="S46" s="684"/>
      <c r="T46" s="684"/>
      <c r="U46" s="684"/>
      <c r="V46" s="684"/>
      <c r="W46" s="684"/>
      <c r="X46" s="684"/>
      <c r="Y46" s="684"/>
      <c r="Z46" s="684"/>
      <c r="AA46" s="684"/>
    </row>
    <row r="47" spans="1:27" ht="28">
      <c r="A47" s="702" t="s">
        <v>2082</v>
      </c>
      <c r="B47" s="702" t="s">
        <v>2083</v>
      </c>
      <c r="C47" s="698" t="s">
        <v>23</v>
      </c>
      <c r="D47" s="685"/>
      <c r="E47" s="698" t="s">
        <v>23</v>
      </c>
      <c r="F47" s="685"/>
      <c r="G47" s="709" t="s">
        <v>23</v>
      </c>
      <c r="H47" s="685"/>
      <c r="I47" s="709" t="s">
        <v>23</v>
      </c>
      <c r="J47" s="685"/>
      <c r="K47" s="709" t="s">
        <v>23</v>
      </c>
      <c r="L47" s="685"/>
      <c r="M47" s="709" t="s">
        <v>23</v>
      </c>
      <c r="N47" s="702"/>
      <c r="O47" s="684"/>
      <c r="P47" s="684"/>
      <c r="Q47" s="684"/>
      <c r="R47" s="684"/>
      <c r="S47" s="684"/>
      <c r="T47" s="684"/>
      <c r="U47" s="684"/>
      <c r="V47" s="684"/>
      <c r="W47" s="684"/>
      <c r="X47" s="684"/>
      <c r="Y47" s="684"/>
      <c r="Z47" s="684"/>
      <c r="AA47" s="684"/>
    </row>
    <row r="48" spans="1:27" ht="28">
      <c r="A48" s="702" t="s">
        <v>2084</v>
      </c>
      <c r="B48" s="702" t="s">
        <v>2085</v>
      </c>
      <c r="C48" s="698" t="s">
        <v>23</v>
      </c>
      <c r="D48" s="695"/>
      <c r="E48" s="698" t="s">
        <v>23</v>
      </c>
      <c r="F48" s="685"/>
      <c r="G48" s="709" t="s">
        <v>23</v>
      </c>
      <c r="H48" s="685"/>
      <c r="I48" s="709" t="s">
        <v>23</v>
      </c>
      <c r="J48" s="685"/>
      <c r="K48" s="709" t="s">
        <v>23</v>
      </c>
      <c r="L48" s="685"/>
      <c r="M48" s="709" t="s">
        <v>23</v>
      </c>
      <c r="N48" s="702"/>
      <c r="O48" s="684"/>
      <c r="P48" s="684"/>
      <c r="Q48" s="684"/>
      <c r="R48" s="684"/>
      <c r="S48" s="684"/>
      <c r="T48" s="684"/>
      <c r="U48" s="684"/>
      <c r="V48" s="684"/>
      <c r="W48" s="684"/>
      <c r="X48" s="684"/>
      <c r="Y48" s="684"/>
      <c r="Z48" s="684"/>
      <c r="AA48" s="684"/>
    </row>
    <row r="49" spans="1:27" ht="28">
      <c r="A49" s="702" t="s">
        <v>2086</v>
      </c>
      <c r="B49" s="702" t="s">
        <v>2087</v>
      </c>
      <c r="C49" s="698" t="s">
        <v>23</v>
      </c>
      <c r="D49" s="710"/>
      <c r="E49" s="698" t="s">
        <v>23</v>
      </c>
      <c r="F49" s="710"/>
      <c r="G49" s="709" t="s">
        <v>23</v>
      </c>
      <c r="H49" s="710"/>
      <c r="I49" s="705" t="s">
        <v>23</v>
      </c>
      <c r="J49" s="710"/>
      <c r="K49" s="709" t="s">
        <v>23</v>
      </c>
      <c r="L49" s="685"/>
      <c r="M49" s="709" t="s">
        <v>23</v>
      </c>
      <c r="N49" s="702"/>
      <c r="O49" s="684"/>
      <c r="P49" s="684"/>
      <c r="Q49" s="684"/>
      <c r="R49" s="684"/>
      <c r="S49" s="684"/>
      <c r="T49" s="684"/>
      <c r="U49" s="684"/>
      <c r="V49" s="684"/>
      <c r="W49" s="684"/>
      <c r="X49" s="684"/>
      <c r="Y49" s="684"/>
      <c r="Z49" s="684"/>
      <c r="AA49" s="684"/>
    </row>
    <row r="50" spans="1:27" ht="28">
      <c r="A50" s="702" t="s">
        <v>2088</v>
      </c>
      <c r="B50" s="702" t="s">
        <v>2089</v>
      </c>
      <c r="C50" s="698" t="s">
        <v>23</v>
      </c>
      <c r="D50" s="710"/>
      <c r="E50" s="698" t="s">
        <v>23</v>
      </c>
      <c r="F50" s="710"/>
      <c r="G50" s="709" t="s">
        <v>23</v>
      </c>
      <c r="H50" s="710"/>
      <c r="I50" s="705" t="s">
        <v>23</v>
      </c>
      <c r="J50" s="710"/>
      <c r="K50" s="709" t="s">
        <v>23</v>
      </c>
      <c r="L50" s="685"/>
      <c r="M50" s="709" t="s">
        <v>23</v>
      </c>
      <c r="N50" s="702"/>
      <c r="O50" s="684"/>
      <c r="P50" s="684"/>
      <c r="Q50" s="684"/>
      <c r="R50" s="684"/>
      <c r="S50" s="684"/>
      <c r="T50" s="684"/>
      <c r="U50" s="684"/>
      <c r="V50" s="684"/>
      <c r="W50" s="684"/>
      <c r="X50" s="684"/>
      <c r="Y50" s="684"/>
      <c r="Z50" s="684"/>
      <c r="AA50" s="684"/>
    </row>
    <row r="51" spans="1:27" ht="28">
      <c r="A51" s="702" t="s">
        <v>2090</v>
      </c>
      <c r="B51" s="702" t="s">
        <v>2091</v>
      </c>
      <c r="C51" s="698" t="s">
        <v>23</v>
      </c>
      <c r="D51" s="685"/>
      <c r="E51" s="698" t="s">
        <v>23</v>
      </c>
      <c r="F51" s="685"/>
      <c r="G51" s="709" t="s">
        <v>23</v>
      </c>
      <c r="H51" s="685"/>
      <c r="I51" s="705" t="s">
        <v>23</v>
      </c>
      <c r="J51" s="685"/>
      <c r="K51" s="709" t="s">
        <v>23</v>
      </c>
      <c r="L51" s="685"/>
      <c r="M51" s="709" t="s">
        <v>23</v>
      </c>
      <c r="N51" s="702"/>
      <c r="O51" s="684"/>
      <c r="P51" s="684"/>
      <c r="Q51" s="684"/>
      <c r="R51" s="684"/>
      <c r="S51" s="684"/>
      <c r="T51" s="684"/>
      <c r="U51" s="684"/>
      <c r="V51" s="684"/>
      <c r="W51" s="684"/>
      <c r="X51" s="684"/>
      <c r="Y51" s="684"/>
      <c r="Z51" s="684"/>
      <c r="AA51" s="684"/>
    </row>
    <row r="52" spans="1:27" ht="28">
      <c r="A52" s="702" t="s">
        <v>2092</v>
      </c>
      <c r="B52" s="702" t="s">
        <v>2093</v>
      </c>
      <c r="C52" s="698" t="s">
        <v>23</v>
      </c>
      <c r="D52" s="685"/>
      <c r="E52" s="698" t="s">
        <v>23</v>
      </c>
      <c r="F52" s="685"/>
      <c r="G52" s="709" t="s">
        <v>23</v>
      </c>
      <c r="H52" s="685"/>
      <c r="I52" s="705" t="s">
        <v>23</v>
      </c>
      <c r="J52" s="685"/>
      <c r="K52" s="709" t="s">
        <v>23</v>
      </c>
      <c r="L52" s="685"/>
      <c r="M52" s="709" t="s">
        <v>23</v>
      </c>
      <c r="N52" s="702"/>
      <c r="O52" s="684"/>
      <c r="P52" s="684"/>
      <c r="Q52" s="684"/>
      <c r="R52" s="684"/>
      <c r="S52" s="684"/>
      <c r="T52" s="684"/>
      <c r="U52" s="684"/>
      <c r="V52" s="684"/>
      <c r="W52" s="684"/>
      <c r="X52" s="684"/>
      <c r="Y52" s="684"/>
      <c r="Z52" s="684"/>
      <c r="AA52" s="684"/>
    </row>
    <row r="53" spans="1:27" ht="28">
      <c r="A53" s="702" t="s">
        <v>2094</v>
      </c>
      <c r="B53" s="702" t="s">
        <v>2095</v>
      </c>
      <c r="C53" s="698" t="s">
        <v>23</v>
      </c>
      <c r="D53" s="685"/>
      <c r="E53" s="698" t="s">
        <v>23</v>
      </c>
      <c r="F53" s="685"/>
      <c r="G53" s="709" t="s">
        <v>64</v>
      </c>
      <c r="H53" s="685"/>
      <c r="I53" s="709" t="s">
        <v>64</v>
      </c>
      <c r="J53" s="685"/>
      <c r="K53" s="709" t="s">
        <v>64</v>
      </c>
      <c r="L53" s="685"/>
      <c r="M53" s="709" t="s">
        <v>64</v>
      </c>
      <c r="N53" s="702"/>
      <c r="O53" s="684"/>
      <c r="P53" s="684"/>
      <c r="Q53" s="684"/>
      <c r="R53" s="684"/>
      <c r="S53" s="684"/>
      <c r="T53" s="684"/>
      <c r="U53" s="684"/>
      <c r="V53" s="684"/>
      <c r="W53" s="684"/>
      <c r="X53" s="684"/>
      <c r="Y53" s="684"/>
      <c r="Z53" s="684"/>
      <c r="AA53" s="684"/>
    </row>
    <row r="54" spans="1:27" ht="14">
      <c r="A54" s="684"/>
      <c r="B54" s="711"/>
      <c r="C54" s="35"/>
      <c r="D54" s="684"/>
      <c r="E54" s="35"/>
      <c r="F54" s="684"/>
      <c r="G54" s="35"/>
      <c r="H54" s="684"/>
      <c r="I54" s="684"/>
      <c r="J54" s="684"/>
      <c r="K54" s="684"/>
      <c r="L54" s="684"/>
      <c r="M54" s="684"/>
      <c r="N54" s="684"/>
      <c r="O54" s="684"/>
      <c r="P54" s="684"/>
      <c r="Q54" s="684"/>
      <c r="R54" s="684"/>
      <c r="S54" s="684"/>
      <c r="T54" s="684"/>
      <c r="U54" s="684"/>
      <c r="V54" s="684"/>
      <c r="W54" s="684"/>
      <c r="X54" s="684"/>
      <c r="Y54" s="684"/>
      <c r="Z54" s="684"/>
      <c r="AA54" s="684"/>
    </row>
    <row r="55" spans="1:27" ht="14">
      <c r="A55" s="684"/>
      <c r="B55" s="684"/>
      <c r="C55" s="35"/>
      <c r="D55" s="684"/>
      <c r="E55" s="35"/>
      <c r="F55" s="684"/>
      <c r="G55" s="35"/>
      <c r="H55" s="684"/>
      <c r="I55" s="684"/>
      <c r="J55" s="684"/>
      <c r="K55" s="684"/>
      <c r="L55" s="684"/>
      <c r="M55" s="684"/>
      <c r="N55" s="684"/>
      <c r="O55" s="684"/>
      <c r="P55" s="684"/>
      <c r="Q55" s="684"/>
      <c r="R55" s="684"/>
      <c r="S55" s="684"/>
      <c r="T55" s="684"/>
      <c r="U55" s="684"/>
      <c r="V55" s="684"/>
      <c r="W55" s="684"/>
      <c r="X55" s="684"/>
      <c r="Y55" s="684"/>
      <c r="Z55" s="684"/>
      <c r="AA55" s="684"/>
    </row>
    <row r="56" spans="1:27" ht="14">
      <c r="A56" s="684"/>
      <c r="B56" s="684"/>
      <c r="C56" s="35"/>
      <c r="D56" s="684"/>
      <c r="E56" s="35"/>
      <c r="F56" s="684"/>
      <c r="G56" s="35"/>
      <c r="H56" s="684"/>
      <c r="I56" s="684"/>
      <c r="J56" s="684"/>
      <c r="K56" s="684"/>
      <c r="L56" s="684"/>
      <c r="M56" s="684"/>
      <c r="N56" s="684"/>
      <c r="O56" s="684"/>
      <c r="P56" s="684"/>
      <c r="Q56" s="684"/>
      <c r="R56" s="684"/>
      <c r="S56" s="684"/>
      <c r="T56" s="684"/>
      <c r="U56" s="684"/>
      <c r="V56" s="684"/>
      <c r="W56" s="684"/>
      <c r="X56" s="684"/>
      <c r="Y56" s="684"/>
      <c r="Z56" s="684"/>
      <c r="AA56" s="684"/>
    </row>
    <row r="57" spans="1:27" ht="14">
      <c r="A57" s="684"/>
      <c r="B57" s="684"/>
      <c r="C57" s="35"/>
      <c r="D57" s="684"/>
      <c r="E57" s="35"/>
      <c r="F57" s="684"/>
      <c r="G57" s="35"/>
      <c r="H57" s="684"/>
      <c r="I57" s="684"/>
      <c r="J57" s="684"/>
      <c r="K57" s="684"/>
      <c r="L57" s="684"/>
      <c r="M57" s="684"/>
      <c r="N57" s="684"/>
      <c r="O57" s="684"/>
      <c r="P57" s="684"/>
      <c r="Q57" s="684"/>
      <c r="R57" s="684"/>
      <c r="S57" s="684"/>
      <c r="T57" s="684"/>
      <c r="U57" s="684"/>
      <c r="V57" s="684"/>
      <c r="W57" s="684"/>
      <c r="X57" s="684"/>
      <c r="Y57" s="684"/>
      <c r="Z57" s="684"/>
      <c r="AA57" s="684"/>
    </row>
    <row r="58" spans="1:27" ht="14">
      <c r="A58" s="684"/>
      <c r="B58" s="684"/>
      <c r="C58" s="35"/>
      <c r="D58" s="684"/>
      <c r="E58" s="35"/>
      <c r="F58" s="684"/>
      <c r="G58" s="35"/>
      <c r="H58" s="684"/>
      <c r="I58" s="684"/>
      <c r="J58" s="684"/>
      <c r="K58" s="684"/>
      <c r="L58" s="684"/>
      <c r="M58" s="684"/>
      <c r="N58" s="684"/>
      <c r="O58" s="684"/>
      <c r="P58" s="684"/>
      <c r="Q58" s="684"/>
      <c r="R58" s="684"/>
      <c r="S58" s="684"/>
      <c r="T58" s="684"/>
      <c r="U58" s="684"/>
      <c r="V58" s="684"/>
      <c r="W58" s="684"/>
      <c r="X58" s="684"/>
      <c r="Y58" s="684"/>
      <c r="Z58" s="684"/>
      <c r="AA58" s="684"/>
    </row>
    <row r="59" spans="1:27" ht="14">
      <c r="A59" s="684"/>
      <c r="B59" s="684"/>
      <c r="C59" s="35"/>
      <c r="D59" s="684"/>
      <c r="E59" s="35"/>
      <c r="F59" s="684"/>
      <c r="G59" s="35"/>
      <c r="H59" s="684"/>
      <c r="I59" s="684"/>
      <c r="J59" s="684"/>
      <c r="K59" s="684"/>
      <c r="L59" s="684"/>
      <c r="M59" s="684"/>
      <c r="N59" s="684"/>
      <c r="O59" s="684"/>
      <c r="P59" s="684"/>
      <c r="Q59" s="684"/>
      <c r="R59" s="684"/>
      <c r="S59" s="684"/>
      <c r="T59" s="684"/>
      <c r="U59" s="684"/>
      <c r="V59" s="684"/>
      <c r="W59" s="684"/>
      <c r="X59" s="684"/>
      <c r="Y59" s="684"/>
      <c r="Z59" s="684"/>
      <c r="AA59" s="684"/>
    </row>
    <row r="60" spans="1:27" ht="14">
      <c r="A60" s="684"/>
      <c r="B60" s="684"/>
      <c r="C60" s="35"/>
      <c r="D60" s="684"/>
      <c r="E60" s="35"/>
      <c r="F60" s="684"/>
      <c r="G60" s="35"/>
      <c r="H60" s="684"/>
      <c r="I60" s="684"/>
      <c r="J60" s="684"/>
      <c r="K60" s="684"/>
      <c r="L60" s="684"/>
      <c r="M60" s="684"/>
      <c r="N60" s="684"/>
      <c r="O60" s="684"/>
      <c r="P60" s="684"/>
      <c r="Q60" s="684"/>
      <c r="R60" s="684"/>
      <c r="S60" s="684"/>
      <c r="T60" s="684"/>
      <c r="U60" s="684"/>
      <c r="V60" s="684"/>
      <c r="W60" s="684"/>
      <c r="X60" s="684"/>
      <c r="Y60" s="684"/>
      <c r="Z60" s="684"/>
      <c r="AA60" s="684"/>
    </row>
    <row r="61" spans="1:27" ht="14">
      <c r="A61" s="684"/>
      <c r="B61" s="684"/>
      <c r="C61" s="35"/>
      <c r="D61" s="684"/>
      <c r="E61" s="35"/>
      <c r="F61" s="684"/>
      <c r="G61" s="35"/>
      <c r="H61" s="684"/>
      <c r="I61" s="684"/>
      <c r="J61" s="684"/>
      <c r="K61" s="684"/>
      <c r="L61" s="684"/>
      <c r="M61" s="684"/>
      <c r="N61" s="684"/>
      <c r="O61" s="684"/>
      <c r="P61" s="684"/>
      <c r="Q61" s="684"/>
      <c r="R61" s="684"/>
      <c r="S61" s="684"/>
      <c r="T61" s="684"/>
      <c r="U61" s="684"/>
      <c r="V61" s="684"/>
      <c r="W61" s="684"/>
      <c r="X61" s="684"/>
      <c r="Y61" s="684"/>
      <c r="Z61" s="684"/>
      <c r="AA61" s="684"/>
    </row>
    <row r="62" spans="1:27" ht="14">
      <c r="A62" s="684"/>
      <c r="B62" s="684"/>
      <c r="C62" s="35"/>
      <c r="D62" s="684"/>
      <c r="E62" s="35"/>
      <c r="F62" s="684"/>
      <c r="G62" s="35"/>
      <c r="H62" s="684"/>
      <c r="I62" s="684"/>
      <c r="J62" s="684"/>
      <c r="K62" s="684"/>
      <c r="L62" s="684"/>
      <c r="M62" s="684"/>
      <c r="N62" s="684"/>
      <c r="O62" s="684"/>
      <c r="P62" s="684"/>
      <c r="Q62" s="684"/>
      <c r="R62" s="684"/>
      <c r="S62" s="684"/>
      <c r="T62" s="684"/>
      <c r="U62" s="684"/>
      <c r="V62" s="684"/>
      <c r="W62" s="684"/>
      <c r="X62" s="684"/>
      <c r="Y62" s="684"/>
      <c r="Z62" s="684"/>
      <c r="AA62" s="684"/>
    </row>
    <row r="63" spans="1:27" ht="14">
      <c r="A63" s="684"/>
      <c r="B63" s="684"/>
      <c r="C63" s="35"/>
      <c r="D63" s="684"/>
      <c r="E63" s="35"/>
      <c r="F63" s="684"/>
      <c r="G63" s="35"/>
      <c r="H63" s="684"/>
      <c r="I63" s="684"/>
      <c r="J63" s="684"/>
      <c r="K63" s="684"/>
      <c r="L63" s="684"/>
      <c r="M63" s="684"/>
      <c r="N63" s="684"/>
      <c r="O63" s="684"/>
      <c r="P63" s="684"/>
      <c r="Q63" s="684"/>
      <c r="R63" s="684"/>
      <c r="S63" s="684"/>
      <c r="T63" s="684"/>
      <c r="U63" s="684"/>
      <c r="V63" s="684"/>
      <c r="W63" s="684"/>
      <c r="X63" s="684"/>
      <c r="Y63" s="684"/>
      <c r="Z63" s="684"/>
      <c r="AA63" s="684"/>
    </row>
    <row r="64" spans="1:27" ht="14">
      <c r="A64" s="684"/>
      <c r="B64" s="684"/>
      <c r="C64" s="35"/>
      <c r="D64" s="684"/>
      <c r="E64" s="35"/>
      <c r="F64" s="684"/>
      <c r="G64" s="35"/>
      <c r="H64" s="684"/>
      <c r="I64" s="684"/>
      <c r="J64" s="684"/>
      <c r="K64" s="684"/>
      <c r="L64" s="684"/>
      <c r="M64" s="684"/>
      <c r="N64" s="684"/>
      <c r="O64" s="684"/>
      <c r="P64" s="684"/>
      <c r="Q64" s="684"/>
      <c r="R64" s="684"/>
      <c r="S64" s="684"/>
      <c r="T64" s="684"/>
      <c r="U64" s="684"/>
      <c r="V64" s="684"/>
      <c r="W64" s="684"/>
      <c r="X64" s="684"/>
      <c r="Y64" s="684"/>
      <c r="Z64" s="684"/>
      <c r="AA64" s="684"/>
    </row>
    <row r="65" spans="1:27" ht="14">
      <c r="A65" s="684"/>
      <c r="B65" s="684"/>
      <c r="C65" s="35"/>
      <c r="D65" s="684"/>
      <c r="E65" s="35"/>
      <c r="F65" s="684"/>
      <c r="G65" s="35"/>
      <c r="H65" s="684"/>
      <c r="I65" s="684"/>
      <c r="J65" s="684"/>
      <c r="K65" s="684"/>
      <c r="L65" s="684"/>
      <c r="M65" s="684"/>
      <c r="N65" s="684"/>
      <c r="O65" s="684"/>
      <c r="P65" s="684"/>
      <c r="Q65" s="684"/>
      <c r="R65" s="684"/>
      <c r="S65" s="684"/>
      <c r="T65" s="684"/>
      <c r="U65" s="684"/>
      <c r="V65" s="684"/>
      <c r="W65" s="684"/>
      <c r="X65" s="684"/>
      <c r="Y65" s="684"/>
      <c r="Z65" s="684"/>
      <c r="AA65" s="684"/>
    </row>
    <row r="66" spans="1:27" ht="14">
      <c r="A66" s="684"/>
      <c r="B66" s="684"/>
      <c r="C66" s="35">
        <v>8.17</v>
      </c>
      <c r="D66" s="684"/>
      <c r="E66" s="35">
        <v>8.17</v>
      </c>
      <c r="F66" s="684"/>
      <c r="G66" s="35"/>
      <c r="H66" s="684"/>
      <c r="I66" s="684"/>
      <c r="J66" s="684"/>
      <c r="K66" s="684"/>
      <c r="L66" s="684"/>
      <c r="M66" s="684"/>
      <c r="N66" s="684"/>
      <c r="O66" s="684"/>
      <c r="P66" s="684"/>
      <c r="Q66" s="684"/>
      <c r="R66" s="684"/>
      <c r="S66" s="684"/>
      <c r="T66" s="684"/>
      <c r="U66" s="684"/>
      <c r="V66" s="684"/>
      <c r="W66" s="684"/>
      <c r="X66" s="684"/>
      <c r="Y66" s="684"/>
      <c r="Z66" s="684"/>
      <c r="AA66" s="684"/>
    </row>
    <row r="67" spans="1:27" ht="14">
      <c r="A67" s="680"/>
      <c r="B67" s="680" t="s">
        <v>1945</v>
      </c>
      <c r="C67" s="681" t="s">
        <v>1946</v>
      </c>
      <c r="D67" s="701" t="s">
        <v>1947</v>
      </c>
      <c r="E67" s="681" t="s">
        <v>1948</v>
      </c>
      <c r="F67" s="701" t="s">
        <v>1949</v>
      </c>
      <c r="G67" s="35"/>
      <c r="H67" s="684"/>
      <c r="I67" s="684"/>
      <c r="J67" s="684"/>
      <c r="K67" s="684"/>
      <c r="L67" s="684"/>
      <c r="M67" s="684"/>
      <c r="N67" s="684"/>
      <c r="O67" s="684"/>
      <c r="P67" s="684"/>
      <c r="Q67" s="684"/>
      <c r="R67" s="684"/>
      <c r="S67" s="684"/>
      <c r="T67" s="684"/>
      <c r="U67" s="684"/>
      <c r="V67" s="684"/>
      <c r="W67" s="684"/>
      <c r="X67" s="684"/>
      <c r="Y67" s="684"/>
      <c r="Z67" s="684"/>
      <c r="AA67" s="684"/>
    </row>
    <row r="68" spans="1:27" ht="28">
      <c r="A68" s="702" t="s">
        <v>2096</v>
      </c>
      <c r="B68" s="702" t="s">
        <v>2097</v>
      </c>
      <c r="C68" s="712" t="s">
        <v>23</v>
      </c>
      <c r="D68" s="713"/>
      <c r="E68" s="712" t="s">
        <v>23</v>
      </c>
      <c r="F68" s="713"/>
      <c r="G68" s="35"/>
      <c r="H68" s="684"/>
      <c r="I68" s="684"/>
      <c r="J68" s="684"/>
      <c r="K68" s="684"/>
      <c r="L68" s="684"/>
      <c r="M68" s="684"/>
      <c r="N68" s="684"/>
      <c r="O68" s="684"/>
      <c r="P68" s="684"/>
      <c r="Q68" s="684"/>
      <c r="R68" s="684"/>
      <c r="S68" s="684"/>
      <c r="T68" s="684"/>
      <c r="U68" s="684"/>
      <c r="V68" s="684"/>
      <c r="W68" s="684"/>
      <c r="X68" s="684"/>
      <c r="Y68" s="684"/>
      <c r="Z68" s="684"/>
      <c r="AA68" s="684"/>
    </row>
    <row r="69" spans="1:27" ht="28">
      <c r="A69" s="702" t="s">
        <v>2098</v>
      </c>
      <c r="B69" s="702" t="s">
        <v>2099</v>
      </c>
      <c r="C69" s="714" t="s">
        <v>23</v>
      </c>
      <c r="D69" s="695"/>
      <c r="E69" s="712" t="s">
        <v>23</v>
      </c>
      <c r="F69" s="695"/>
      <c r="G69" s="35"/>
      <c r="H69" s="684"/>
      <c r="I69" s="684"/>
      <c r="J69" s="684"/>
      <c r="K69" s="684"/>
      <c r="L69" s="684"/>
      <c r="M69" s="684"/>
      <c r="N69" s="684"/>
      <c r="O69" s="684"/>
      <c r="P69" s="684"/>
      <c r="Q69" s="684"/>
      <c r="R69" s="684"/>
      <c r="S69" s="684"/>
      <c r="T69" s="684"/>
      <c r="U69" s="684"/>
      <c r="V69" s="684"/>
      <c r="W69" s="684"/>
      <c r="X69" s="684"/>
      <c r="Y69" s="684"/>
      <c r="Z69" s="684"/>
      <c r="AA69" s="684"/>
    </row>
    <row r="70" spans="1:27" ht="28">
      <c r="A70" s="702" t="s">
        <v>2100</v>
      </c>
      <c r="B70" s="702" t="s">
        <v>2101</v>
      </c>
      <c r="C70" s="714" t="s">
        <v>64</v>
      </c>
      <c r="D70" s="685" t="s">
        <v>2102</v>
      </c>
      <c r="E70" s="714" t="s">
        <v>64</v>
      </c>
      <c r="F70" s="685" t="s">
        <v>2102</v>
      </c>
      <c r="G70" s="35"/>
      <c r="H70" s="684"/>
      <c r="I70" s="684"/>
      <c r="J70" s="684"/>
      <c r="K70" s="684"/>
      <c r="L70" s="684"/>
      <c r="M70" s="684"/>
      <c r="N70" s="684"/>
      <c r="O70" s="684"/>
      <c r="P70" s="684"/>
      <c r="Q70" s="684"/>
      <c r="R70" s="684"/>
      <c r="S70" s="684"/>
      <c r="T70" s="684"/>
      <c r="U70" s="684"/>
      <c r="V70" s="684"/>
      <c r="W70" s="684"/>
      <c r="X70" s="684"/>
      <c r="Y70" s="684"/>
      <c r="Z70" s="684"/>
      <c r="AA70" s="684"/>
    </row>
    <row r="71" spans="1:27" ht="28">
      <c r="A71" s="702" t="s">
        <v>2103</v>
      </c>
      <c r="B71" s="702" t="s">
        <v>2104</v>
      </c>
      <c r="C71" s="714" t="s">
        <v>64</v>
      </c>
      <c r="D71" s="685" t="s">
        <v>2102</v>
      </c>
      <c r="E71" s="714" t="s">
        <v>64</v>
      </c>
      <c r="F71" s="685" t="s">
        <v>2102</v>
      </c>
      <c r="G71" s="35"/>
      <c r="H71" s="684"/>
      <c r="I71" s="684"/>
      <c r="J71" s="684"/>
      <c r="K71" s="684"/>
      <c r="L71" s="684"/>
      <c r="M71" s="684"/>
      <c r="N71" s="684"/>
      <c r="O71" s="684"/>
      <c r="P71" s="684"/>
      <c r="Q71" s="684"/>
      <c r="R71" s="684"/>
      <c r="S71" s="684"/>
      <c r="T71" s="684"/>
      <c r="U71" s="684"/>
      <c r="V71" s="684"/>
      <c r="W71" s="684"/>
      <c r="X71" s="684"/>
      <c r="Y71" s="684"/>
      <c r="Z71" s="684"/>
      <c r="AA71" s="684"/>
    </row>
    <row r="72" spans="1:27" ht="28">
      <c r="A72" s="702" t="s">
        <v>2105</v>
      </c>
      <c r="B72" s="702" t="s">
        <v>2106</v>
      </c>
      <c r="C72" s="714" t="s">
        <v>23</v>
      </c>
      <c r="D72" s="695"/>
      <c r="E72" s="714" t="s">
        <v>23</v>
      </c>
      <c r="F72" s="695"/>
      <c r="G72" s="35"/>
      <c r="H72" s="684"/>
      <c r="I72" s="684"/>
      <c r="J72" s="684"/>
      <c r="K72" s="684"/>
      <c r="L72" s="684"/>
      <c r="M72" s="684"/>
      <c r="N72" s="684"/>
      <c r="O72" s="684"/>
      <c r="P72" s="684"/>
      <c r="Q72" s="684"/>
      <c r="R72" s="684"/>
      <c r="S72" s="684"/>
      <c r="T72" s="684"/>
      <c r="U72" s="684"/>
      <c r="V72" s="684"/>
      <c r="W72" s="684"/>
      <c r="X72" s="684"/>
      <c r="Y72" s="684"/>
      <c r="Z72" s="684"/>
      <c r="AA72" s="684"/>
    </row>
    <row r="73" spans="1:27" ht="28">
      <c r="A73" s="702" t="s">
        <v>2107</v>
      </c>
      <c r="B73" s="702" t="s">
        <v>2108</v>
      </c>
      <c r="C73" s="714" t="s">
        <v>23</v>
      </c>
      <c r="D73" s="695"/>
      <c r="E73" s="714" t="s">
        <v>23</v>
      </c>
      <c r="F73" s="695"/>
      <c r="G73" s="35"/>
      <c r="H73" s="684"/>
      <c r="I73" s="684"/>
      <c r="J73" s="684"/>
      <c r="K73" s="684"/>
      <c r="L73" s="684"/>
      <c r="M73" s="684"/>
      <c r="N73" s="684"/>
      <c r="O73" s="684"/>
      <c r="P73" s="684"/>
      <c r="Q73" s="684"/>
      <c r="R73" s="684"/>
      <c r="S73" s="684"/>
      <c r="T73" s="684"/>
      <c r="U73" s="684"/>
      <c r="V73" s="684"/>
      <c r="W73" s="684"/>
      <c r="X73" s="684"/>
      <c r="Y73" s="684"/>
      <c r="Z73" s="684"/>
      <c r="AA73" s="684"/>
    </row>
    <row r="74" spans="1:27" ht="28">
      <c r="A74" s="706" t="s">
        <v>2109</v>
      </c>
      <c r="B74" s="706" t="s">
        <v>2110</v>
      </c>
      <c r="C74" s="714" t="s">
        <v>64</v>
      </c>
      <c r="D74" s="685" t="s">
        <v>2102</v>
      </c>
      <c r="E74" s="714" t="s">
        <v>64</v>
      </c>
      <c r="F74" s="685" t="s">
        <v>2102</v>
      </c>
      <c r="G74" s="35"/>
      <c r="H74" s="684"/>
      <c r="I74" s="684"/>
      <c r="J74" s="684"/>
      <c r="K74" s="684"/>
      <c r="L74" s="684"/>
      <c r="M74" s="684"/>
      <c r="N74" s="684"/>
      <c r="O74" s="684"/>
      <c r="P74" s="684"/>
      <c r="Q74" s="684"/>
      <c r="R74" s="684"/>
      <c r="S74" s="684"/>
      <c r="T74" s="684"/>
      <c r="U74" s="684"/>
      <c r="V74" s="684"/>
      <c r="W74" s="684"/>
      <c r="X74" s="684"/>
      <c r="Y74" s="684"/>
      <c r="Z74" s="684"/>
      <c r="AA74" s="684"/>
    </row>
    <row r="75" spans="1:27" ht="28">
      <c r="A75" s="702" t="s">
        <v>2111</v>
      </c>
      <c r="B75" s="702" t="s">
        <v>2112</v>
      </c>
      <c r="C75" s="714" t="s">
        <v>64</v>
      </c>
      <c r="D75" s="685" t="s">
        <v>2102</v>
      </c>
      <c r="E75" s="714" t="s">
        <v>64</v>
      </c>
      <c r="F75" s="685" t="s">
        <v>2102</v>
      </c>
      <c r="G75" s="35"/>
      <c r="H75" s="684"/>
      <c r="I75" s="684"/>
      <c r="J75" s="684"/>
      <c r="K75" s="684"/>
      <c r="L75" s="684"/>
      <c r="M75" s="684"/>
      <c r="N75" s="684"/>
      <c r="O75" s="684"/>
      <c r="P75" s="684"/>
      <c r="Q75" s="684"/>
      <c r="R75" s="684"/>
      <c r="S75" s="684"/>
      <c r="T75" s="684"/>
      <c r="U75" s="684"/>
      <c r="V75" s="684"/>
      <c r="W75" s="684"/>
      <c r="X75" s="684"/>
      <c r="Y75" s="684"/>
      <c r="Z75" s="684"/>
      <c r="AA75" s="684"/>
    </row>
    <row r="76" spans="1:27" ht="28">
      <c r="A76" s="702" t="s">
        <v>2113</v>
      </c>
      <c r="B76" s="702" t="s">
        <v>2114</v>
      </c>
      <c r="C76" s="714" t="s">
        <v>23</v>
      </c>
      <c r="D76" s="695"/>
      <c r="E76" s="714" t="s">
        <v>23</v>
      </c>
      <c r="F76" s="695"/>
      <c r="G76" s="35"/>
      <c r="H76" s="684"/>
      <c r="I76" s="684"/>
      <c r="J76" s="684"/>
      <c r="K76" s="684"/>
      <c r="L76" s="684"/>
      <c r="M76" s="684"/>
      <c r="N76" s="684"/>
      <c r="O76" s="684"/>
      <c r="P76" s="684"/>
      <c r="Q76" s="684"/>
      <c r="R76" s="684"/>
      <c r="S76" s="684"/>
      <c r="T76" s="684"/>
      <c r="U76" s="684"/>
      <c r="V76" s="684"/>
      <c r="W76" s="684"/>
      <c r="X76" s="684"/>
      <c r="Y76" s="684"/>
      <c r="Z76" s="684"/>
      <c r="AA76" s="684"/>
    </row>
    <row r="77" spans="1:27" ht="28">
      <c r="A77" s="702" t="s">
        <v>2115</v>
      </c>
      <c r="B77" s="702" t="s">
        <v>2116</v>
      </c>
      <c r="C77" s="714" t="s">
        <v>23</v>
      </c>
      <c r="D77" s="695"/>
      <c r="E77" s="714" t="s">
        <v>23</v>
      </c>
      <c r="F77" s="695"/>
      <c r="G77" s="35"/>
      <c r="H77" s="684"/>
      <c r="I77" s="684"/>
      <c r="J77" s="684"/>
      <c r="K77" s="684"/>
      <c r="L77" s="684"/>
      <c r="M77" s="684"/>
      <c r="N77" s="684"/>
      <c r="O77" s="684"/>
      <c r="P77" s="684"/>
      <c r="Q77" s="684"/>
      <c r="R77" s="684"/>
      <c r="S77" s="684"/>
      <c r="T77" s="684"/>
      <c r="U77" s="684"/>
      <c r="V77" s="684"/>
      <c r="W77" s="684"/>
      <c r="X77" s="684"/>
      <c r="Y77" s="684"/>
      <c r="Z77" s="684"/>
      <c r="AA77" s="684"/>
    </row>
    <row r="78" spans="1:27" ht="42">
      <c r="A78" s="702" t="s">
        <v>2117</v>
      </c>
      <c r="B78" s="702" t="s">
        <v>2118</v>
      </c>
      <c r="C78" s="714" t="s">
        <v>23</v>
      </c>
      <c r="D78" s="695"/>
      <c r="E78" s="714" t="s">
        <v>23</v>
      </c>
      <c r="F78" s="695"/>
      <c r="G78" s="35"/>
      <c r="H78" s="684"/>
      <c r="I78" s="684"/>
      <c r="J78" s="684"/>
      <c r="K78" s="684"/>
      <c r="L78" s="684"/>
      <c r="M78" s="684"/>
      <c r="N78" s="684"/>
      <c r="O78" s="684"/>
      <c r="P78" s="684"/>
      <c r="Q78" s="684"/>
      <c r="R78" s="684"/>
      <c r="S78" s="684"/>
      <c r="T78" s="684"/>
      <c r="U78" s="684"/>
      <c r="V78" s="684"/>
      <c r="W78" s="684"/>
      <c r="X78" s="684"/>
      <c r="Y78" s="684"/>
      <c r="Z78" s="684"/>
      <c r="AA78" s="684"/>
    </row>
    <row r="79" spans="1:27" ht="31.5" customHeight="1">
      <c r="A79" s="702" t="s">
        <v>2119</v>
      </c>
      <c r="B79" s="702" t="s">
        <v>2120</v>
      </c>
      <c r="C79" s="714" t="s">
        <v>23</v>
      </c>
      <c r="D79" s="695"/>
      <c r="E79" s="714" t="s">
        <v>23</v>
      </c>
      <c r="F79" s="695"/>
      <c r="G79" s="35"/>
      <c r="H79" s="684"/>
      <c r="I79" s="684"/>
      <c r="J79" s="684"/>
      <c r="K79" s="684"/>
      <c r="L79" s="684"/>
      <c r="M79" s="684"/>
      <c r="N79" s="684"/>
      <c r="O79" s="684"/>
      <c r="P79" s="684"/>
      <c r="Q79" s="684"/>
      <c r="R79" s="684"/>
      <c r="S79" s="684"/>
      <c r="T79" s="684"/>
      <c r="U79" s="684"/>
      <c r="V79" s="684"/>
      <c r="W79" s="684"/>
      <c r="X79" s="684"/>
      <c r="Y79" s="684"/>
      <c r="Z79" s="684"/>
      <c r="AA79" s="684"/>
    </row>
    <row r="80" spans="1:27" ht="28">
      <c r="A80" s="702" t="s">
        <v>2121</v>
      </c>
      <c r="B80" s="702" t="s">
        <v>2122</v>
      </c>
      <c r="C80" s="714" t="s">
        <v>23</v>
      </c>
      <c r="D80" s="695"/>
      <c r="E80" s="714" t="s">
        <v>23</v>
      </c>
      <c r="F80" s="695"/>
      <c r="G80" s="35"/>
      <c r="H80" s="684"/>
      <c r="I80" s="684"/>
      <c r="J80" s="684"/>
      <c r="K80" s="684"/>
      <c r="L80" s="684"/>
      <c r="M80" s="684"/>
      <c r="N80" s="684"/>
      <c r="O80" s="684"/>
      <c r="P80" s="684"/>
      <c r="Q80" s="684"/>
      <c r="R80" s="684"/>
      <c r="S80" s="684"/>
      <c r="T80" s="684"/>
      <c r="U80" s="684"/>
      <c r="V80" s="684"/>
      <c r="W80" s="684"/>
      <c r="X80" s="684"/>
      <c r="Y80" s="684"/>
      <c r="Z80" s="684"/>
      <c r="AA80" s="684"/>
    </row>
    <row r="81" spans="1:27" ht="28">
      <c r="A81" s="702" t="s">
        <v>2123</v>
      </c>
      <c r="B81" s="702" t="s">
        <v>2124</v>
      </c>
      <c r="C81" s="714" t="s">
        <v>23</v>
      </c>
      <c r="D81" s="695"/>
      <c r="E81" s="714" t="s">
        <v>23</v>
      </c>
      <c r="F81" s="695"/>
      <c r="G81" s="35"/>
      <c r="H81" s="684"/>
      <c r="I81" s="684"/>
      <c r="J81" s="684"/>
      <c r="K81" s="684"/>
      <c r="L81" s="684"/>
      <c r="M81" s="684"/>
      <c r="N81" s="684"/>
      <c r="O81" s="684"/>
      <c r="P81" s="684"/>
      <c r="Q81" s="684"/>
      <c r="R81" s="684"/>
      <c r="S81" s="684"/>
      <c r="T81" s="684"/>
      <c r="U81" s="684"/>
      <c r="V81" s="684"/>
      <c r="W81" s="684"/>
      <c r="X81" s="684"/>
      <c r="Y81" s="684"/>
      <c r="Z81" s="684"/>
      <c r="AA81" s="684"/>
    </row>
    <row r="82" spans="1:27" ht="28">
      <c r="A82" s="702" t="s">
        <v>2125</v>
      </c>
      <c r="B82" s="702" t="s">
        <v>2126</v>
      </c>
      <c r="C82" s="714" t="s">
        <v>23</v>
      </c>
      <c r="D82" s="695"/>
      <c r="E82" s="714" t="s">
        <v>23</v>
      </c>
      <c r="F82" s="695"/>
      <c r="G82" s="35"/>
      <c r="H82" s="684"/>
      <c r="I82" s="684"/>
      <c r="J82" s="684"/>
      <c r="K82" s="684"/>
      <c r="L82" s="684"/>
      <c r="M82" s="684"/>
      <c r="N82" s="684"/>
      <c r="O82" s="684"/>
      <c r="P82" s="684"/>
      <c r="Q82" s="684"/>
      <c r="R82" s="684"/>
      <c r="S82" s="684"/>
      <c r="T82" s="684"/>
      <c r="U82" s="684"/>
      <c r="V82" s="684"/>
      <c r="W82" s="684"/>
      <c r="X82" s="684"/>
      <c r="Y82" s="684"/>
      <c r="Z82" s="684"/>
      <c r="AA82" s="684"/>
    </row>
    <row r="83" spans="1:27" ht="28">
      <c r="A83" s="702" t="s">
        <v>2127</v>
      </c>
      <c r="B83" s="702" t="s">
        <v>2128</v>
      </c>
      <c r="C83" s="714" t="s">
        <v>23</v>
      </c>
      <c r="D83" s="695"/>
      <c r="E83" s="714" t="s">
        <v>23</v>
      </c>
      <c r="F83" s="695"/>
      <c r="G83" s="35"/>
      <c r="H83" s="684"/>
      <c r="I83" s="684"/>
      <c r="J83" s="684"/>
      <c r="K83" s="684"/>
      <c r="L83" s="684"/>
      <c r="M83" s="684"/>
      <c r="N83" s="684"/>
      <c r="O83" s="684"/>
      <c r="P83" s="684"/>
      <c r="Q83" s="684"/>
      <c r="R83" s="684"/>
      <c r="S83" s="684"/>
      <c r="T83" s="684"/>
      <c r="U83" s="684"/>
      <c r="V83" s="684"/>
      <c r="W83" s="684"/>
      <c r="X83" s="684"/>
      <c r="Y83" s="684"/>
      <c r="Z83" s="684"/>
      <c r="AA83" s="684"/>
    </row>
    <row r="84" spans="1:27" ht="28">
      <c r="A84" s="702" t="s">
        <v>2129</v>
      </c>
      <c r="B84" s="702" t="s">
        <v>2130</v>
      </c>
      <c r="C84" s="714" t="s">
        <v>23</v>
      </c>
      <c r="D84" s="695"/>
      <c r="E84" s="714" t="s">
        <v>23</v>
      </c>
      <c r="F84" s="695"/>
      <c r="G84" s="35"/>
      <c r="H84" s="1037" t="s">
        <v>2131</v>
      </c>
      <c r="I84" s="1036"/>
      <c r="J84" s="1036"/>
      <c r="K84" s="1036"/>
      <c r="L84" s="1036"/>
      <c r="M84" s="684"/>
      <c r="N84" s="684"/>
      <c r="O84" s="684"/>
      <c r="P84" s="684"/>
      <c r="Q84" s="684"/>
      <c r="R84" s="684"/>
      <c r="S84" s="684"/>
      <c r="T84" s="684"/>
      <c r="U84" s="684"/>
      <c r="V84" s="684"/>
      <c r="W84" s="684"/>
      <c r="X84" s="684"/>
      <c r="Y84" s="684"/>
      <c r="Z84" s="684"/>
      <c r="AA84" s="684"/>
    </row>
    <row r="85" spans="1:27" ht="28">
      <c r="A85" s="702" t="s">
        <v>2132</v>
      </c>
      <c r="B85" s="702" t="s">
        <v>2133</v>
      </c>
      <c r="C85" s="714" t="s">
        <v>23</v>
      </c>
      <c r="D85" s="695"/>
      <c r="E85" s="714" t="s">
        <v>23</v>
      </c>
      <c r="F85" s="695"/>
      <c r="G85" s="35"/>
      <c r="H85" s="684"/>
      <c r="I85" s="684"/>
      <c r="J85" s="684"/>
      <c r="K85" s="684"/>
      <c r="L85" s="684"/>
      <c r="M85" s="684"/>
      <c r="N85" s="684"/>
      <c r="O85" s="684"/>
      <c r="P85" s="684"/>
      <c r="Q85" s="684"/>
      <c r="R85" s="684"/>
      <c r="S85" s="684"/>
      <c r="T85" s="684"/>
      <c r="U85" s="684"/>
      <c r="V85" s="684"/>
      <c r="W85" s="684"/>
      <c r="X85" s="684"/>
      <c r="Y85" s="684"/>
      <c r="Z85" s="684"/>
      <c r="AA85" s="684"/>
    </row>
    <row r="86" spans="1:27" ht="28">
      <c r="A86" s="702" t="s">
        <v>2134</v>
      </c>
      <c r="B86" s="702" t="s">
        <v>2135</v>
      </c>
      <c r="C86" s="714" t="s">
        <v>23</v>
      </c>
      <c r="D86" s="695"/>
      <c r="E86" s="714" t="s">
        <v>23</v>
      </c>
      <c r="F86" s="695"/>
      <c r="G86" s="35"/>
      <c r="H86" s="684"/>
      <c r="I86" s="684"/>
      <c r="J86" s="684"/>
      <c r="K86" s="684"/>
      <c r="L86" s="684"/>
      <c r="M86" s="684"/>
      <c r="N86" s="684"/>
      <c r="O86" s="684"/>
      <c r="P86" s="684"/>
      <c r="Q86" s="684"/>
      <c r="R86" s="684"/>
      <c r="S86" s="684"/>
      <c r="T86" s="684"/>
      <c r="U86" s="684"/>
      <c r="V86" s="684"/>
      <c r="W86" s="684"/>
      <c r="X86" s="684"/>
      <c r="Y86" s="684"/>
      <c r="Z86" s="684"/>
      <c r="AA86" s="684"/>
    </row>
    <row r="87" spans="1:27" ht="28">
      <c r="A87" s="702" t="s">
        <v>2136</v>
      </c>
      <c r="B87" s="702" t="s">
        <v>2137</v>
      </c>
      <c r="C87" s="714" t="s">
        <v>23</v>
      </c>
      <c r="D87" s="695"/>
      <c r="E87" s="714" t="s">
        <v>23</v>
      </c>
      <c r="F87" s="695"/>
      <c r="G87" s="35"/>
      <c r="H87" s="684"/>
      <c r="I87" s="684"/>
      <c r="J87" s="684"/>
      <c r="K87" s="684"/>
      <c r="L87" s="684"/>
      <c r="M87" s="684"/>
      <c r="N87" s="684"/>
      <c r="O87" s="684"/>
      <c r="P87" s="684"/>
      <c r="Q87" s="684"/>
      <c r="R87" s="684"/>
      <c r="S87" s="684"/>
      <c r="T87" s="684"/>
      <c r="U87" s="684"/>
      <c r="V87" s="684"/>
      <c r="W87" s="684"/>
      <c r="X87" s="684"/>
      <c r="Y87" s="684"/>
      <c r="Z87" s="684"/>
      <c r="AA87" s="684"/>
    </row>
    <row r="88" spans="1:27" ht="20">
      <c r="A88" s="702" t="s">
        <v>2138</v>
      </c>
      <c r="B88" s="702" t="s">
        <v>2139</v>
      </c>
      <c r="C88" s="714" t="s">
        <v>23</v>
      </c>
      <c r="D88" s="695"/>
      <c r="E88" s="714" t="s">
        <v>23</v>
      </c>
      <c r="F88" s="695"/>
      <c r="G88" s="35"/>
      <c r="H88" s="684"/>
      <c r="I88" s="684"/>
      <c r="J88" s="684"/>
      <c r="K88" s="684"/>
      <c r="L88" s="684"/>
      <c r="M88" s="684"/>
      <c r="N88" s="684"/>
      <c r="O88" s="684"/>
      <c r="P88" s="684"/>
      <c r="Q88" s="684"/>
      <c r="R88" s="684"/>
      <c r="S88" s="684"/>
      <c r="T88" s="684"/>
      <c r="U88" s="684"/>
      <c r="V88" s="684"/>
      <c r="W88" s="684"/>
      <c r="X88" s="684"/>
      <c r="Y88" s="684"/>
      <c r="Z88" s="684"/>
      <c r="AA88" s="684"/>
    </row>
    <row r="89" spans="1:27" ht="28">
      <c r="A89" s="702" t="s">
        <v>2140</v>
      </c>
      <c r="B89" s="702" t="s">
        <v>2141</v>
      </c>
      <c r="C89" s="714" t="s">
        <v>23</v>
      </c>
      <c r="D89" s="695"/>
      <c r="E89" s="714" t="s">
        <v>23</v>
      </c>
      <c r="F89" s="695"/>
      <c r="G89" s="35"/>
      <c r="H89" s="684"/>
      <c r="I89" s="684"/>
      <c r="J89" s="684"/>
      <c r="K89" s="684"/>
      <c r="L89" s="684"/>
      <c r="M89" s="684"/>
      <c r="N89" s="684"/>
      <c r="O89" s="684"/>
      <c r="P89" s="684"/>
      <c r="Q89" s="684"/>
      <c r="R89" s="684"/>
      <c r="S89" s="684"/>
      <c r="T89" s="684"/>
      <c r="U89" s="684"/>
      <c r="V89" s="684"/>
      <c r="W89" s="684"/>
      <c r="X89" s="684"/>
      <c r="Y89" s="684"/>
      <c r="Z89" s="684"/>
      <c r="AA89" s="684"/>
    </row>
    <row r="90" spans="1:27" ht="28">
      <c r="A90" s="702" t="s">
        <v>2142</v>
      </c>
      <c r="B90" s="702" t="s">
        <v>2143</v>
      </c>
      <c r="C90" s="714" t="s">
        <v>23</v>
      </c>
      <c r="D90" s="695"/>
      <c r="E90" s="714" t="s">
        <v>23</v>
      </c>
      <c r="F90" s="695"/>
      <c r="G90" s="35"/>
      <c r="H90" s="684"/>
      <c r="I90" s="684"/>
      <c r="J90" s="684"/>
      <c r="K90" s="684"/>
      <c r="L90" s="684"/>
      <c r="M90" s="684"/>
      <c r="N90" s="684"/>
      <c r="O90" s="684"/>
      <c r="P90" s="684"/>
      <c r="Q90" s="684"/>
      <c r="R90" s="684"/>
      <c r="S90" s="684"/>
      <c r="T90" s="684"/>
      <c r="U90" s="684"/>
      <c r="V90" s="684"/>
      <c r="W90" s="684"/>
      <c r="X90" s="684"/>
      <c r="Y90" s="684"/>
      <c r="Z90" s="684"/>
      <c r="AA90" s="684"/>
    </row>
    <row r="91" spans="1:27" ht="28">
      <c r="A91" s="702" t="s">
        <v>2144</v>
      </c>
      <c r="B91" s="702" t="s">
        <v>2145</v>
      </c>
      <c r="C91" s="714" t="s">
        <v>23</v>
      </c>
      <c r="D91" s="695"/>
      <c r="E91" s="714" t="s">
        <v>23</v>
      </c>
      <c r="F91" s="695"/>
      <c r="G91" s="35"/>
      <c r="H91" s="684"/>
      <c r="I91" s="684"/>
      <c r="J91" s="684"/>
      <c r="K91" s="684"/>
      <c r="L91" s="684"/>
      <c r="M91" s="684"/>
      <c r="N91" s="684"/>
      <c r="O91" s="684"/>
      <c r="P91" s="684"/>
      <c r="Q91" s="684"/>
      <c r="R91" s="684"/>
      <c r="S91" s="684"/>
      <c r="T91" s="684"/>
      <c r="U91" s="684"/>
      <c r="V91" s="684"/>
      <c r="W91" s="684"/>
      <c r="X91" s="684"/>
      <c r="Y91" s="684"/>
      <c r="Z91" s="684"/>
      <c r="AA91" s="684"/>
    </row>
    <row r="92" spans="1:27" ht="28">
      <c r="A92" s="702" t="s">
        <v>2146</v>
      </c>
      <c r="B92" s="702" t="s">
        <v>2147</v>
      </c>
      <c r="C92" s="714" t="s">
        <v>23</v>
      </c>
      <c r="D92" s="695"/>
      <c r="E92" s="714" t="s">
        <v>23</v>
      </c>
      <c r="F92" s="695"/>
      <c r="G92" s="35"/>
      <c r="H92" s="684"/>
      <c r="I92" s="684"/>
      <c r="J92" s="684"/>
      <c r="K92" s="684"/>
      <c r="L92" s="684"/>
      <c r="M92" s="684"/>
      <c r="N92" s="684"/>
      <c r="O92" s="684"/>
      <c r="P92" s="684"/>
      <c r="Q92" s="684"/>
      <c r="R92" s="684"/>
      <c r="S92" s="684"/>
      <c r="T92" s="684"/>
      <c r="U92" s="684"/>
      <c r="V92" s="684"/>
      <c r="W92" s="684"/>
      <c r="X92" s="684"/>
      <c r="Y92" s="684"/>
      <c r="Z92" s="684"/>
      <c r="AA92" s="684"/>
    </row>
    <row r="93" spans="1:27" ht="28">
      <c r="A93" s="702" t="s">
        <v>2148</v>
      </c>
      <c r="B93" s="702" t="s">
        <v>2149</v>
      </c>
      <c r="C93" s="714" t="s">
        <v>23</v>
      </c>
      <c r="D93" s="695"/>
      <c r="E93" s="714" t="s">
        <v>23</v>
      </c>
      <c r="F93" s="695"/>
      <c r="G93" s="35"/>
      <c r="H93" s="684"/>
      <c r="I93" s="684"/>
      <c r="J93" s="684"/>
      <c r="K93" s="684"/>
      <c r="L93" s="684"/>
      <c r="M93" s="684"/>
      <c r="N93" s="684"/>
      <c r="O93" s="684"/>
      <c r="P93" s="684"/>
      <c r="Q93" s="684"/>
      <c r="R93" s="684"/>
      <c r="S93" s="684"/>
      <c r="T93" s="684"/>
      <c r="U93" s="684"/>
      <c r="V93" s="684"/>
      <c r="W93" s="684"/>
      <c r="X93" s="684"/>
      <c r="Y93" s="684"/>
      <c r="Z93" s="684"/>
      <c r="AA93" s="684"/>
    </row>
    <row r="94" spans="1:27" ht="14">
      <c r="A94" s="684"/>
      <c r="B94" s="684"/>
      <c r="C94" s="35"/>
      <c r="D94" s="684"/>
      <c r="E94" s="35"/>
      <c r="F94" s="684"/>
      <c r="G94" s="35"/>
      <c r="H94" s="684"/>
      <c r="I94" s="684"/>
      <c r="J94" s="684"/>
      <c r="K94" s="684"/>
      <c r="L94" s="684"/>
      <c r="M94" s="684"/>
      <c r="N94" s="684"/>
      <c r="O94" s="684"/>
      <c r="P94" s="684"/>
      <c r="Q94" s="684"/>
      <c r="R94" s="684"/>
      <c r="S94" s="684"/>
      <c r="T94" s="684"/>
      <c r="U94" s="684"/>
      <c r="V94" s="684"/>
      <c r="W94" s="684"/>
      <c r="X94" s="684"/>
      <c r="Y94" s="684"/>
      <c r="Z94" s="684"/>
      <c r="AA94" s="684"/>
    </row>
    <row r="95" spans="1:27" ht="14">
      <c r="A95" s="684"/>
      <c r="B95" s="684"/>
      <c r="C95" s="35"/>
      <c r="D95" s="684"/>
      <c r="E95" s="35"/>
      <c r="F95" s="684"/>
      <c r="G95" s="35"/>
      <c r="H95" s="684"/>
      <c r="I95" s="684"/>
      <c r="J95" s="684"/>
      <c r="K95" s="684"/>
      <c r="L95" s="684"/>
      <c r="M95" s="684"/>
      <c r="N95" s="684"/>
      <c r="O95" s="684"/>
      <c r="P95" s="684"/>
      <c r="Q95" s="684"/>
      <c r="R95" s="684"/>
      <c r="S95" s="684"/>
      <c r="T95" s="684"/>
      <c r="U95" s="684"/>
      <c r="V95" s="684"/>
      <c r="W95" s="684"/>
      <c r="X95" s="684"/>
      <c r="Y95" s="684"/>
      <c r="Z95" s="684"/>
      <c r="AA95" s="684"/>
    </row>
    <row r="96" spans="1:27" ht="14">
      <c r="A96" s="684"/>
      <c r="B96" s="684"/>
      <c r="C96" s="35"/>
      <c r="D96" s="684"/>
      <c r="E96" s="35"/>
      <c r="F96" s="684"/>
      <c r="G96" s="35"/>
      <c r="H96" s="684"/>
      <c r="I96" s="684"/>
      <c r="J96" s="684"/>
      <c r="K96" s="684"/>
      <c r="L96" s="684"/>
      <c r="M96" s="684"/>
      <c r="N96" s="684"/>
      <c r="O96" s="684"/>
      <c r="P96" s="684"/>
      <c r="Q96" s="684"/>
      <c r="R96" s="684"/>
      <c r="S96" s="684"/>
      <c r="T96" s="684"/>
      <c r="U96" s="684"/>
      <c r="V96" s="684"/>
      <c r="W96" s="684"/>
      <c r="X96" s="684"/>
      <c r="Y96" s="684"/>
      <c r="Z96" s="684"/>
      <c r="AA96" s="684"/>
    </row>
    <row r="97" spans="1:27" ht="14">
      <c r="A97" s="684"/>
      <c r="B97" s="684"/>
      <c r="C97" s="35"/>
      <c r="D97" s="684"/>
      <c r="E97" s="35"/>
      <c r="F97" s="684"/>
      <c r="G97" s="35"/>
      <c r="H97" s="684"/>
      <c r="I97" s="684"/>
      <c r="J97" s="684"/>
      <c r="K97" s="684"/>
      <c r="L97" s="684"/>
      <c r="M97" s="684"/>
      <c r="N97" s="684"/>
      <c r="O97" s="684"/>
      <c r="P97" s="684"/>
      <c r="Q97" s="684"/>
      <c r="R97" s="684"/>
      <c r="S97" s="684"/>
      <c r="T97" s="684"/>
      <c r="U97" s="684"/>
      <c r="V97" s="684"/>
      <c r="W97" s="684"/>
      <c r="X97" s="684"/>
      <c r="Y97" s="684"/>
      <c r="Z97" s="684"/>
      <c r="AA97" s="684"/>
    </row>
    <row r="98" spans="1:27" ht="14">
      <c r="A98" s="684"/>
      <c r="B98" s="684"/>
      <c r="C98" s="35"/>
      <c r="D98" s="684"/>
      <c r="E98" s="35"/>
      <c r="F98" s="684"/>
      <c r="G98" s="35"/>
      <c r="H98" s="684"/>
      <c r="I98" s="684"/>
      <c r="J98" s="684"/>
      <c r="K98" s="684"/>
      <c r="L98" s="684"/>
      <c r="M98" s="684"/>
      <c r="N98" s="684"/>
      <c r="O98" s="684"/>
      <c r="P98" s="684"/>
      <c r="Q98" s="684"/>
      <c r="R98" s="684"/>
      <c r="S98" s="684"/>
      <c r="T98" s="684"/>
      <c r="U98" s="684"/>
      <c r="V98" s="684"/>
      <c r="W98" s="684"/>
      <c r="X98" s="684"/>
      <c r="Y98" s="684"/>
      <c r="Z98" s="684"/>
      <c r="AA98" s="684"/>
    </row>
    <row r="99" spans="1:27" ht="14">
      <c r="A99" s="684"/>
      <c r="B99" s="684"/>
      <c r="C99" s="35"/>
      <c r="D99" s="684"/>
      <c r="E99" s="35"/>
      <c r="F99" s="684"/>
      <c r="G99" s="35"/>
      <c r="H99" s="684"/>
      <c r="I99" s="684"/>
      <c r="J99" s="684"/>
      <c r="K99" s="684"/>
      <c r="L99" s="684"/>
      <c r="M99" s="684"/>
      <c r="N99" s="684"/>
      <c r="O99" s="684"/>
      <c r="P99" s="684"/>
      <c r="Q99" s="684"/>
      <c r="R99" s="684"/>
      <c r="S99" s="684"/>
      <c r="T99" s="684"/>
      <c r="U99" s="684"/>
      <c r="V99" s="684"/>
      <c r="W99" s="684"/>
      <c r="X99" s="684"/>
      <c r="Y99" s="684"/>
      <c r="Z99" s="684"/>
      <c r="AA99" s="684"/>
    </row>
    <row r="100" spans="1:27" ht="14">
      <c r="A100" s="684"/>
      <c r="B100" s="684"/>
      <c r="C100" s="35"/>
      <c r="D100" s="684"/>
      <c r="E100" s="35"/>
      <c r="F100" s="684"/>
      <c r="G100" s="35"/>
      <c r="H100" s="684"/>
      <c r="I100" s="684"/>
      <c r="J100" s="684"/>
      <c r="K100" s="684"/>
      <c r="L100" s="684"/>
      <c r="M100" s="684"/>
      <c r="N100" s="684"/>
      <c r="O100" s="684"/>
      <c r="P100" s="684"/>
      <c r="Q100" s="684"/>
      <c r="R100" s="684"/>
      <c r="S100" s="684"/>
      <c r="T100" s="684"/>
      <c r="U100" s="684"/>
      <c r="V100" s="684"/>
      <c r="W100" s="684"/>
      <c r="X100" s="684"/>
      <c r="Y100" s="684"/>
      <c r="Z100" s="684"/>
      <c r="AA100" s="684"/>
    </row>
    <row r="101" spans="1:27" ht="14">
      <c r="A101" s="684"/>
      <c r="B101" s="684"/>
      <c r="C101" s="35"/>
      <c r="D101" s="684"/>
      <c r="E101" s="35"/>
      <c r="F101" s="684"/>
      <c r="G101" s="35"/>
      <c r="H101" s="684"/>
      <c r="I101" s="684"/>
      <c r="J101" s="684"/>
      <c r="K101" s="684"/>
      <c r="L101" s="684"/>
      <c r="M101" s="684"/>
      <c r="N101" s="684"/>
      <c r="O101" s="684"/>
      <c r="P101" s="684"/>
      <c r="Q101" s="684"/>
      <c r="R101" s="684"/>
      <c r="S101" s="684"/>
      <c r="T101" s="684"/>
      <c r="U101" s="684"/>
      <c r="V101" s="684"/>
      <c r="W101" s="684"/>
      <c r="X101" s="684"/>
      <c r="Y101" s="684"/>
      <c r="Z101" s="684"/>
      <c r="AA101" s="684"/>
    </row>
    <row r="102" spans="1:27" ht="14">
      <c r="A102" s="684"/>
      <c r="B102" s="684"/>
      <c r="C102" s="35"/>
      <c r="D102" s="684"/>
      <c r="E102" s="35"/>
      <c r="F102" s="684"/>
      <c r="G102" s="35"/>
      <c r="H102" s="684"/>
      <c r="I102" s="684"/>
      <c r="J102" s="684"/>
      <c r="K102" s="684"/>
      <c r="L102" s="684"/>
      <c r="M102" s="684"/>
      <c r="N102" s="684"/>
      <c r="O102" s="684"/>
      <c r="P102" s="684"/>
      <c r="Q102" s="684"/>
      <c r="R102" s="684"/>
      <c r="S102" s="684"/>
      <c r="T102" s="684"/>
      <c r="U102" s="684"/>
      <c r="V102" s="684"/>
      <c r="W102" s="684"/>
      <c r="X102" s="684"/>
      <c r="Y102" s="684"/>
      <c r="Z102" s="684"/>
      <c r="AA102" s="684"/>
    </row>
    <row r="103" spans="1:27" ht="14">
      <c r="A103" s="684"/>
      <c r="B103" s="684"/>
      <c r="C103" s="35"/>
      <c r="D103" s="684"/>
      <c r="E103" s="35"/>
      <c r="F103" s="684"/>
      <c r="G103" s="35"/>
      <c r="H103" s="684"/>
      <c r="I103" s="684"/>
      <c r="J103" s="684"/>
      <c r="K103" s="684"/>
      <c r="L103" s="684"/>
      <c r="M103" s="684"/>
      <c r="N103" s="684"/>
      <c r="O103" s="684"/>
      <c r="P103" s="684"/>
      <c r="Q103" s="684"/>
      <c r="R103" s="684"/>
      <c r="S103" s="684"/>
      <c r="T103" s="684"/>
      <c r="U103" s="684"/>
      <c r="V103" s="684"/>
      <c r="W103" s="684"/>
      <c r="X103" s="684"/>
      <c r="Y103" s="684"/>
      <c r="Z103" s="684"/>
      <c r="AA103" s="684"/>
    </row>
    <row r="104" spans="1:27" ht="14">
      <c r="A104" s="684"/>
      <c r="B104" s="684"/>
      <c r="C104" s="35" t="s">
        <v>2150</v>
      </c>
      <c r="D104" s="684"/>
      <c r="E104" s="35" t="s">
        <v>2150</v>
      </c>
      <c r="F104" s="684"/>
      <c r="G104" s="35">
        <v>8.18</v>
      </c>
      <c r="H104" s="684"/>
      <c r="I104" s="684"/>
      <c r="J104" s="684"/>
      <c r="K104" s="684"/>
      <c r="L104" s="684"/>
      <c r="M104" s="684"/>
      <c r="N104" s="684"/>
      <c r="O104" s="684"/>
      <c r="P104" s="684"/>
      <c r="Q104" s="684"/>
      <c r="R104" s="684"/>
      <c r="S104" s="684"/>
      <c r="T104" s="684"/>
      <c r="U104" s="684"/>
      <c r="V104" s="684"/>
      <c r="W104" s="684"/>
      <c r="X104" s="684"/>
      <c r="Y104" s="684"/>
      <c r="Z104" s="684"/>
      <c r="AA104" s="684"/>
    </row>
    <row r="105" spans="1:27" ht="28">
      <c r="A105" s="680"/>
      <c r="B105" s="680" t="s">
        <v>1945</v>
      </c>
      <c r="C105" s="715" t="s">
        <v>3243</v>
      </c>
      <c r="D105" s="701" t="s">
        <v>1947</v>
      </c>
      <c r="E105" s="715" t="s">
        <v>3244</v>
      </c>
      <c r="F105" s="701" t="s">
        <v>1949</v>
      </c>
      <c r="G105" s="715" t="s">
        <v>3245</v>
      </c>
      <c r="H105" s="701" t="s">
        <v>1947</v>
      </c>
      <c r="I105" s="681" t="s">
        <v>2151</v>
      </c>
      <c r="J105" s="701" t="s">
        <v>1949</v>
      </c>
      <c r="K105" s="684"/>
      <c r="L105" s="684"/>
      <c r="M105" s="684"/>
      <c r="N105" s="684"/>
      <c r="O105" s="684"/>
      <c r="P105" s="684"/>
      <c r="Q105" s="684"/>
      <c r="R105" s="684"/>
      <c r="S105" s="684"/>
      <c r="T105" s="684"/>
      <c r="U105" s="684"/>
      <c r="V105" s="684"/>
      <c r="W105" s="684"/>
      <c r="X105" s="684"/>
      <c r="Y105" s="684"/>
      <c r="Z105" s="684"/>
      <c r="AA105" s="684"/>
    </row>
    <row r="106" spans="1:27" ht="28">
      <c r="A106" s="702" t="s">
        <v>2152</v>
      </c>
      <c r="B106" s="702" t="s">
        <v>2153</v>
      </c>
      <c r="C106" s="712" t="s">
        <v>23</v>
      </c>
      <c r="D106" s="716"/>
      <c r="E106" s="712" t="s">
        <v>23</v>
      </c>
      <c r="F106" s="716"/>
      <c r="G106" s="712" t="s">
        <v>23</v>
      </c>
      <c r="H106" s="716"/>
      <c r="I106" s="712" t="s">
        <v>23</v>
      </c>
      <c r="J106" s="716"/>
      <c r="K106" s="684"/>
      <c r="L106" s="684"/>
      <c r="M106" s="684"/>
      <c r="N106" s="684"/>
      <c r="O106" s="684"/>
      <c r="P106" s="684"/>
      <c r="Q106" s="684"/>
      <c r="R106" s="684"/>
      <c r="S106" s="684"/>
      <c r="T106" s="684"/>
      <c r="U106" s="684"/>
      <c r="V106" s="684"/>
      <c r="W106" s="684"/>
      <c r="X106" s="684"/>
      <c r="Y106" s="684"/>
      <c r="Z106" s="684"/>
      <c r="AA106" s="684"/>
    </row>
    <row r="107" spans="1:27" ht="28">
      <c r="A107" s="702" t="s">
        <v>2154</v>
      </c>
      <c r="B107" s="702" t="s">
        <v>2155</v>
      </c>
      <c r="C107" s="714" t="s">
        <v>23</v>
      </c>
      <c r="D107" s="717"/>
      <c r="E107" s="714" t="s">
        <v>23</v>
      </c>
      <c r="F107" s="717"/>
      <c r="G107" s="712" t="s">
        <v>23</v>
      </c>
      <c r="H107" s="717"/>
      <c r="I107" s="712" t="s">
        <v>23</v>
      </c>
      <c r="J107" s="717"/>
      <c r="K107" s="684"/>
      <c r="L107" s="684"/>
      <c r="M107" s="684"/>
      <c r="N107" s="684"/>
      <c r="O107" s="684"/>
      <c r="P107" s="684"/>
      <c r="Q107" s="684"/>
      <c r="R107" s="684"/>
      <c r="S107" s="684"/>
      <c r="T107" s="684"/>
      <c r="U107" s="684"/>
      <c r="V107" s="684"/>
      <c r="W107" s="684"/>
      <c r="X107" s="684"/>
      <c r="Y107" s="684"/>
      <c r="Z107" s="684"/>
      <c r="AA107" s="684"/>
    </row>
    <row r="108" spans="1:27" ht="28">
      <c r="A108" s="702" t="s">
        <v>2156</v>
      </c>
      <c r="B108" s="702" t="s">
        <v>2157</v>
      </c>
      <c r="C108" s="714" t="s">
        <v>23</v>
      </c>
      <c r="D108" s="685" t="s">
        <v>2102</v>
      </c>
      <c r="E108" s="714" t="s">
        <v>23</v>
      </c>
      <c r="F108" s="685" t="s">
        <v>2102</v>
      </c>
      <c r="G108" s="712" t="s">
        <v>23</v>
      </c>
      <c r="H108" s="717"/>
      <c r="I108" s="712" t="s">
        <v>23</v>
      </c>
      <c r="J108" s="717"/>
      <c r="K108" s="684"/>
      <c r="L108" s="684"/>
      <c r="M108" s="684"/>
      <c r="N108" s="684"/>
      <c r="O108" s="684"/>
      <c r="P108" s="684"/>
      <c r="Q108" s="684"/>
      <c r="R108" s="684"/>
      <c r="S108" s="684"/>
      <c r="T108" s="684"/>
      <c r="U108" s="684"/>
      <c r="V108" s="684"/>
      <c r="W108" s="684"/>
      <c r="X108" s="684"/>
      <c r="Y108" s="684"/>
      <c r="Z108" s="684"/>
      <c r="AA108" s="684"/>
    </row>
    <row r="109" spans="1:27" ht="28">
      <c r="A109" s="702" t="s">
        <v>2158</v>
      </c>
      <c r="B109" s="702" t="s">
        <v>2159</v>
      </c>
      <c r="C109" s="714" t="s">
        <v>23</v>
      </c>
      <c r="D109" s="685" t="s">
        <v>2102</v>
      </c>
      <c r="E109" s="714" t="s">
        <v>23</v>
      </c>
      <c r="F109" s="685" t="s">
        <v>2102</v>
      </c>
      <c r="G109" s="712" t="s">
        <v>23</v>
      </c>
      <c r="H109" s="717"/>
      <c r="I109" s="712" t="s">
        <v>23</v>
      </c>
      <c r="J109" s="717"/>
      <c r="K109" s="684"/>
      <c r="L109" s="684"/>
      <c r="M109" s="684"/>
      <c r="N109" s="684"/>
      <c r="O109" s="684"/>
      <c r="P109" s="684"/>
      <c r="Q109" s="684"/>
      <c r="R109" s="684"/>
      <c r="S109" s="684"/>
      <c r="T109" s="684"/>
      <c r="U109" s="684"/>
      <c r="V109" s="684"/>
      <c r="W109" s="684"/>
      <c r="X109" s="684"/>
      <c r="Y109" s="684"/>
      <c r="Z109" s="684"/>
      <c r="AA109" s="684"/>
    </row>
    <row r="110" spans="1:27" ht="28">
      <c r="A110" s="702" t="s">
        <v>2160</v>
      </c>
      <c r="B110" s="702" t="s">
        <v>2161</v>
      </c>
      <c r="C110" s="714" t="s">
        <v>23</v>
      </c>
      <c r="D110" s="695"/>
      <c r="E110" s="714" t="s">
        <v>23</v>
      </c>
      <c r="F110" s="695"/>
      <c r="G110" s="712" t="s">
        <v>23</v>
      </c>
      <c r="H110" s="717"/>
      <c r="I110" s="712" t="s">
        <v>23</v>
      </c>
      <c r="J110" s="717"/>
      <c r="K110" s="684"/>
      <c r="L110" s="684"/>
      <c r="M110" s="684"/>
      <c r="N110" s="684"/>
      <c r="O110" s="684"/>
      <c r="P110" s="684"/>
      <c r="Q110" s="684"/>
      <c r="R110" s="684"/>
      <c r="S110" s="684"/>
      <c r="T110" s="684"/>
      <c r="U110" s="684"/>
      <c r="V110" s="684"/>
      <c r="W110" s="684"/>
      <c r="X110" s="684"/>
      <c r="Y110" s="684"/>
      <c r="Z110" s="684"/>
      <c r="AA110" s="684"/>
    </row>
    <row r="111" spans="1:27" ht="28">
      <c r="A111" s="702" t="s">
        <v>2162</v>
      </c>
      <c r="B111" s="702" t="s">
        <v>2163</v>
      </c>
      <c r="C111" s="714" t="s">
        <v>23</v>
      </c>
      <c r="D111" s="695"/>
      <c r="E111" s="714" t="s">
        <v>23</v>
      </c>
      <c r="F111" s="695"/>
      <c r="G111" s="712" t="s">
        <v>23</v>
      </c>
      <c r="H111" s="717"/>
      <c r="I111" s="712" t="s">
        <v>23</v>
      </c>
      <c r="J111" s="717"/>
      <c r="K111" s="684"/>
      <c r="L111" s="684"/>
      <c r="M111" s="684"/>
      <c r="N111" s="684"/>
      <c r="O111" s="684"/>
      <c r="P111" s="684"/>
      <c r="Q111" s="684"/>
      <c r="R111" s="684"/>
      <c r="S111" s="684"/>
      <c r="T111" s="684"/>
      <c r="U111" s="684"/>
      <c r="V111" s="684"/>
      <c r="W111" s="684"/>
      <c r="X111" s="684"/>
      <c r="Y111" s="684"/>
      <c r="Z111" s="684"/>
      <c r="AA111" s="684"/>
    </row>
    <row r="112" spans="1:27" ht="28">
      <c r="A112" s="702" t="s">
        <v>2164</v>
      </c>
      <c r="B112" s="702" t="s">
        <v>2165</v>
      </c>
      <c r="C112" s="714" t="s">
        <v>23</v>
      </c>
      <c r="D112" s="685" t="s">
        <v>2102</v>
      </c>
      <c r="E112" s="714" t="s">
        <v>23</v>
      </c>
      <c r="F112" s="685" t="s">
        <v>2102</v>
      </c>
      <c r="G112" s="712" t="s">
        <v>23</v>
      </c>
      <c r="H112" s="717"/>
      <c r="I112" s="712" t="s">
        <v>23</v>
      </c>
      <c r="J112" s="717"/>
      <c r="K112" s="684"/>
      <c r="L112" s="684"/>
      <c r="M112" s="684"/>
      <c r="N112" s="684"/>
      <c r="O112" s="684"/>
      <c r="P112" s="684"/>
      <c r="Q112" s="684"/>
      <c r="R112" s="684"/>
      <c r="S112" s="684"/>
      <c r="T112" s="684"/>
      <c r="U112" s="684"/>
      <c r="V112" s="684"/>
      <c r="W112" s="684"/>
      <c r="X112" s="684"/>
      <c r="Y112" s="684"/>
      <c r="Z112" s="684"/>
      <c r="AA112" s="684"/>
    </row>
    <row r="113" spans="1:27" ht="28">
      <c r="A113" s="702" t="s">
        <v>2166</v>
      </c>
      <c r="B113" s="702" t="s">
        <v>2167</v>
      </c>
      <c r="C113" s="714" t="s">
        <v>23</v>
      </c>
      <c r="D113" s="685" t="s">
        <v>2102</v>
      </c>
      <c r="E113" s="714" t="s">
        <v>23</v>
      </c>
      <c r="F113" s="685" t="s">
        <v>2102</v>
      </c>
      <c r="G113" s="712" t="s">
        <v>23</v>
      </c>
      <c r="H113" s="717"/>
      <c r="I113" s="712" t="s">
        <v>23</v>
      </c>
      <c r="J113" s="717"/>
      <c r="K113" s="684"/>
      <c r="L113" s="684"/>
      <c r="M113" s="684"/>
      <c r="N113" s="684"/>
      <c r="O113" s="684"/>
      <c r="P113" s="684"/>
      <c r="Q113" s="684"/>
      <c r="R113" s="684"/>
      <c r="S113" s="684"/>
      <c r="T113" s="684"/>
      <c r="U113" s="684"/>
      <c r="V113" s="684"/>
      <c r="W113" s="684"/>
      <c r="X113" s="684"/>
      <c r="Y113" s="684"/>
      <c r="Z113" s="684"/>
      <c r="AA113" s="684"/>
    </row>
    <row r="114" spans="1:27" ht="28">
      <c r="A114" s="702" t="s">
        <v>2168</v>
      </c>
      <c r="B114" s="702" t="s">
        <v>2169</v>
      </c>
      <c r="C114" s="714" t="s">
        <v>23</v>
      </c>
      <c r="D114" s="717"/>
      <c r="E114" s="714" t="s">
        <v>23</v>
      </c>
      <c r="F114" s="717"/>
      <c r="G114" s="712" t="s">
        <v>23</v>
      </c>
      <c r="H114" s="717"/>
      <c r="I114" s="712" t="s">
        <v>23</v>
      </c>
      <c r="J114" s="717"/>
      <c r="K114" s="684"/>
      <c r="L114" s="684"/>
      <c r="M114" s="684"/>
      <c r="N114" s="684"/>
      <c r="O114" s="684"/>
      <c r="P114" s="684"/>
      <c r="Q114" s="684"/>
      <c r="R114" s="684"/>
      <c r="S114" s="684"/>
      <c r="T114" s="684"/>
      <c r="U114" s="684"/>
      <c r="V114" s="684"/>
      <c r="W114" s="684"/>
      <c r="X114" s="684"/>
      <c r="Y114" s="684"/>
      <c r="Z114" s="684"/>
      <c r="AA114" s="684"/>
    </row>
    <row r="115" spans="1:27" ht="28">
      <c r="A115" s="702" t="s">
        <v>2170</v>
      </c>
      <c r="B115" s="702" t="s">
        <v>2171</v>
      </c>
      <c r="C115" s="714" t="s">
        <v>23</v>
      </c>
      <c r="D115" s="717"/>
      <c r="E115" s="714" t="s">
        <v>23</v>
      </c>
      <c r="F115" s="717"/>
      <c r="G115" s="712" t="s">
        <v>23</v>
      </c>
      <c r="H115" s="717"/>
      <c r="I115" s="712" t="s">
        <v>23</v>
      </c>
      <c r="J115" s="717"/>
      <c r="K115" s="684"/>
      <c r="L115" s="684"/>
      <c r="M115" s="684"/>
      <c r="N115" s="684"/>
      <c r="O115" s="684"/>
      <c r="P115" s="684"/>
      <c r="Q115" s="684"/>
      <c r="R115" s="684"/>
      <c r="S115" s="684"/>
      <c r="T115" s="684"/>
      <c r="U115" s="684"/>
      <c r="V115" s="684"/>
      <c r="W115" s="684"/>
      <c r="X115" s="684"/>
      <c r="Y115" s="684"/>
      <c r="Z115" s="684"/>
      <c r="AA115" s="684"/>
    </row>
    <row r="116" spans="1:27" ht="42">
      <c r="A116" s="702" t="s">
        <v>2172</v>
      </c>
      <c r="B116" s="702" t="s">
        <v>2173</v>
      </c>
      <c r="C116" s="714" t="s">
        <v>23</v>
      </c>
      <c r="D116" s="717"/>
      <c r="E116" s="714" t="s">
        <v>23</v>
      </c>
      <c r="F116" s="717"/>
      <c r="G116" s="712" t="s">
        <v>23</v>
      </c>
      <c r="H116" s="717"/>
      <c r="I116" s="712" t="s">
        <v>23</v>
      </c>
      <c r="J116" s="717"/>
      <c r="K116" s="684"/>
      <c r="L116" s="684"/>
      <c r="M116" s="684"/>
      <c r="N116" s="684"/>
      <c r="O116" s="684"/>
      <c r="P116" s="684"/>
      <c r="Q116" s="684"/>
      <c r="R116" s="684"/>
      <c r="S116" s="684"/>
      <c r="T116" s="684"/>
      <c r="U116" s="684"/>
      <c r="V116" s="684"/>
      <c r="W116" s="684"/>
      <c r="X116" s="684"/>
      <c r="Y116" s="684"/>
      <c r="Z116" s="684"/>
      <c r="AA116" s="684"/>
    </row>
    <row r="117" spans="1:27" ht="28">
      <c r="A117" s="702" t="s">
        <v>2174</v>
      </c>
      <c r="B117" s="702" t="s">
        <v>2175</v>
      </c>
      <c r="C117" s="714" t="s">
        <v>23</v>
      </c>
      <c r="D117" s="717"/>
      <c r="E117" s="714" t="s">
        <v>23</v>
      </c>
      <c r="F117" s="717"/>
      <c r="G117" s="712" t="s">
        <v>23</v>
      </c>
      <c r="H117" s="717"/>
      <c r="I117" s="712" t="s">
        <v>23</v>
      </c>
      <c r="J117" s="717"/>
      <c r="K117" s="684"/>
      <c r="L117" s="684"/>
      <c r="M117" s="684"/>
      <c r="N117" s="684"/>
      <c r="O117" s="684"/>
      <c r="P117" s="684"/>
      <c r="Q117" s="684"/>
      <c r="R117" s="684"/>
      <c r="S117" s="684"/>
      <c r="T117" s="684"/>
      <c r="U117" s="684"/>
      <c r="V117" s="684"/>
      <c r="W117" s="684"/>
      <c r="X117" s="684"/>
      <c r="Y117" s="684"/>
      <c r="Z117" s="684"/>
      <c r="AA117" s="684"/>
    </row>
    <row r="118" spans="1:27" ht="28">
      <c r="A118" s="702" t="s">
        <v>2176</v>
      </c>
      <c r="B118" s="702" t="s">
        <v>2177</v>
      </c>
      <c r="C118" s="714" t="s">
        <v>23</v>
      </c>
      <c r="D118" s="717"/>
      <c r="E118" s="714" t="s">
        <v>23</v>
      </c>
      <c r="F118" s="717"/>
      <c r="G118" s="712" t="s">
        <v>23</v>
      </c>
      <c r="H118" s="717"/>
      <c r="I118" s="712" t="s">
        <v>23</v>
      </c>
      <c r="J118" s="717"/>
      <c r="K118" s="684"/>
      <c r="L118" s="684"/>
      <c r="M118" s="684"/>
      <c r="N118" s="684"/>
      <c r="O118" s="684"/>
      <c r="P118" s="684"/>
      <c r="Q118" s="684"/>
      <c r="R118" s="684"/>
      <c r="S118" s="684"/>
      <c r="T118" s="684"/>
      <c r="U118" s="684"/>
      <c r="V118" s="684"/>
      <c r="W118" s="684"/>
      <c r="X118" s="684"/>
      <c r="Y118" s="684"/>
      <c r="Z118" s="684"/>
      <c r="AA118" s="684"/>
    </row>
    <row r="119" spans="1:27" ht="28">
      <c r="A119" s="702" t="s">
        <v>2178</v>
      </c>
      <c r="B119" s="702" t="s">
        <v>2179</v>
      </c>
      <c r="C119" s="714" t="s">
        <v>23</v>
      </c>
      <c r="D119" s="717"/>
      <c r="E119" s="714" t="s">
        <v>23</v>
      </c>
      <c r="F119" s="717"/>
      <c r="G119" s="712" t="s">
        <v>23</v>
      </c>
      <c r="H119" s="717"/>
      <c r="I119" s="712" t="s">
        <v>23</v>
      </c>
      <c r="J119" s="717"/>
      <c r="K119" s="684"/>
      <c r="L119" s="684"/>
      <c r="M119" s="684"/>
      <c r="N119" s="684"/>
      <c r="O119" s="684"/>
      <c r="P119" s="684"/>
      <c r="Q119" s="684"/>
      <c r="R119" s="684"/>
      <c r="S119" s="684"/>
      <c r="T119" s="684"/>
      <c r="U119" s="684"/>
      <c r="V119" s="684"/>
      <c r="W119" s="684"/>
      <c r="X119" s="684"/>
      <c r="Y119" s="684"/>
      <c r="Z119" s="684"/>
      <c r="AA119" s="684"/>
    </row>
    <row r="120" spans="1:27" ht="28">
      <c r="A120" s="702" t="s">
        <v>2180</v>
      </c>
      <c r="B120" s="702" t="s">
        <v>2181</v>
      </c>
      <c r="C120" s="714" t="s">
        <v>23</v>
      </c>
      <c r="D120" s="717"/>
      <c r="E120" s="714" t="s">
        <v>23</v>
      </c>
      <c r="F120" s="717"/>
      <c r="G120" s="712" t="s">
        <v>23</v>
      </c>
      <c r="H120" s="717"/>
      <c r="I120" s="712" t="s">
        <v>23</v>
      </c>
      <c r="J120" s="717"/>
      <c r="K120" s="684"/>
      <c r="L120" s="684"/>
      <c r="M120" s="684"/>
      <c r="N120" s="684"/>
      <c r="O120" s="684"/>
      <c r="P120" s="684"/>
      <c r="Q120" s="684"/>
      <c r="R120" s="684"/>
      <c r="S120" s="684"/>
      <c r="T120" s="684"/>
      <c r="U120" s="684"/>
      <c r="V120" s="684"/>
      <c r="W120" s="684"/>
      <c r="X120" s="684"/>
      <c r="Y120" s="684"/>
      <c r="Z120" s="684"/>
      <c r="AA120" s="684"/>
    </row>
    <row r="121" spans="1:27" ht="28">
      <c r="A121" s="702" t="s">
        <v>2182</v>
      </c>
      <c r="B121" s="702" t="s">
        <v>2183</v>
      </c>
      <c r="C121" s="714" t="s">
        <v>23</v>
      </c>
      <c r="D121" s="717"/>
      <c r="E121" s="714" t="s">
        <v>23</v>
      </c>
      <c r="F121" s="717"/>
      <c r="G121" s="712" t="s">
        <v>23</v>
      </c>
      <c r="H121" s="717"/>
      <c r="I121" s="712" t="s">
        <v>23</v>
      </c>
      <c r="J121" s="717"/>
      <c r="K121" s="684"/>
      <c r="L121" s="684"/>
      <c r="M121" s="684"/>
      <c r="N121" s="684"/>
      <c r="O121" s="684"/>
      <c r="P121" s="684"/>
      <c r="Q121" s="684"/>
      <c r="R121" s="684"/>
      <c r="S121" s="684"/>
      <c r="T121" s="684"/>
      <c r="U121" s="684"/>
      <c r="V121" s="684"/>
      <c r="W121" s="684"/>
      <c r="X121" s="684"/>
      <c r="Y121" s="684"/>
      <c r="Z121" s="684"/>
      <c r="AA121" s="684"/>
    </row>
    <row r="122" spans="1:27" ht="28">
      <c r="A122" s="702" t="s">
        <v>2184</v>
      </c>
      <c r="B122" s="702" t="s">
        <v>2185</v>
      </c>
      <c r="C122" s="714" t="s">
        <v>23</v>
      </c>
      <c r="D122" s="717"/>
      <c r="E122" s="714" t="s">
        <v>23</v>
      </c>
      <c r="F122" s="717"/>
      <c r="G122" s="712" t="s">
        <v>23</v>
      </c>
      <c r="H122" s="717"/>
      <c r="I122" s="712" t="s">
        <v>23</v>
      </c>
      <c r="J122" s="717"/>
      <c r="K122" s="684"/>
      <c r="L122" s="684"/>
      <c r="M122" s="684"/>
      <c r="N122" s="684"/>
      <c r="O122" s="684"/>
      <c r="P122" s="684"/>
      <c r="Q122" s="684"/>
      <c r="R122" s="684"/>
      <c r="S122" s="684"/>
      <c r="T122" s="684"/>
      <c r="U122" s="684"/>
      <c r="V122" s="684"/>
      <c r="W122" s="684"/>
      <c r="X122" s="684"/>
      <c r="Y122" s="684"/>
      <c r="Z122" s="684"/>
      <c r="AA122" s="684"/>
    </row>
    <row r="123" spans="1:27" ht="28">
      <c r="A123" s="702" t="s">
        <v>2186</v>
      </c>
      <c r="B123" s="702" t="s">
        <v>2187</v>
      </c>
      <c r="C123" s="714" t="s">
        <v>23</v>
      </c>
      <c r="D123" s="717"/>
      <c r="E123" s="714" t="s">
        <v>23</v>
      </c>
      <c r="F123" s="717"/>
      <c r="G123" s="712" t="s">
        <v>23</v>
      </c>
      <c r="H123" s="717"/>
      <c r="I123" s="712" t="s">
        <v>23</v>
      </c>
      <c r="J123" s="717"/>
      <c r="K123" s="684"/>
      <c r="L123" s="684"/>
      <c r="M123" s="684"/>
      <c r="N123" s="684"/>
      <c r="O123" s="684"/>
      <c r="P123" s="684"/>
      <c r="Q123" s="684"/>
      <c r="R123" s="684"/>
      <c r="S123" s="684"/>
      <c r="T123" s="684"/>
      <c r="U123" s="684"/>
      <c r="V123" s="684"/>
      <c r="W123" s="684"/>
      <c r="X123" s="684"/>
      <c r="Y123" s="684"/>
      <c r="Z123" s="684"/>
      <c r="AA123" s="684"/>
    </row>
    <row r="124" spans="1:27" ht="28">
      <c r="A124" s="702" t="s">
        <v>2188</v>
      </c>
      <c r="B124" s="702" t="s">
        <v>2189</v>
      </c>
      <c r="C124" s="714" t="s">
        <v>23</v>
      </c>
      <c r="D124" s="717"/>
      <c r="E124" s="714" t="s">
        <v>23</v>
      </c>
      <c r="F124" s="717"/>
      <c r="G124" s="712" t="s">
        <v>23</v>
      </c>
      <c r="H124" s="717"/>
      <c r="I124" s="712" t="s">
        <v>23</v>
      </c>
      <c r="J124" s="717"/>
      <c r="K124" s="684"/>
      <c r="L124" s="684"/>
      <c r="M124" s="684"/>
      <c r="N124" s="684"/>
      <c r="O124" s="684"/>
      <c r="P124" s="684"/>
      <c r="Q124" s="684"/>
      <c r="R124" s="684"/>
      <c r="S124" s="684"/>
      <c r="T124" s="684"/>
      <c r="U124" s="684"/>
      <c r="V124" s="684"/>
      <c r="W124" s="684"/>
      <c r="X124" s="684"/>
      <c r="Y124" s="684"/>
      <c r="Z124" s="684"/>
      <c r="AA124" s="684"/>
    </row>
    <row r="125" spans="1:27" ht="28">
      <c r="A125" s="702" t="s">
        <v>2190</v>
      </c>
      <c r="B125" s="702" t="s">
        <v>2191</v>
      </c>
      <c r="C125" s="714" t="s">
        <v>23</v>
      </c>
      <c r="D125" s="717"/>
      <c r="E125" s="714" t="s">
        <v>23</v>
      </c>
      <c r="F125" s="717"/>
      <c r="G125" s="712" t="s">
        <v>23</v>
      </c>
      <c r="H125" s="717"/>
      <c r="I125" s="712" t="s">
        <v>23</v>
      </c>
      <c r="J125" s="717"/>
      <c r="K125" s="684"/>
      <c r="L125" s="684"/>
      <c r="M125" s="684"/>
      <c r="N125" s="684"/>
      <c r="O125" s="684"/>
      <c r="P125" s="684"/>
      <c r="Q125" s="684"/>
      <c r="R125" s="684"/>
      <c r="S125" s="684"/>
      <c r="T125" s="684"/>
      <c r="U125" s="684"/>
      <c r="V125" s="684"/>
      <c r="W125" s="684"/>
      <c r="X125" s="684"/>
      <c r="Y125" s="684"/>
      <c r="Z125" s="684"/>
      <c r="AA125" s="684"/>
    </row>
    <row r="126" spans="1:27" ht="28">
      <c r="A126" s="702" t="s">
        <v>2192</v>
      </c>
      <c r="B126" s="702" t="s">
        <v>2193</v>
      </c>
      <c r="C126" s="714" t="s">
        <v>23</v>
      </c>
      <c r="D126" s="717"/>
      <c r="E126" s="714" t="s">
        <v>23</v>
      </c>
      <c r="F126" s="717"/>
      <c r="G126" s="712" t="s">
        <v>23</v>
      </c>
      <c r="H126" s="717"/>
      <c r="I126" s="712" t="s">
        <v>23</v>
      </c>
      <c r="J126" s="717"/>
      <c r="K126" s="684"/>
      <c r="L126" s="684"/>
      <c r="M126" s="684"/>
      <c r="N126" s="684"/>
      <c r="O126" s="684"/>
      <c r="P126" s="684"/>
      <c r="Q126" s="684"/>
      <c r="R126" s="684"/>
      <c r="S126" s="684"/>
      <c r="T126" s="684"/>
      <c r="U126" s="684"/>
      <c r="V126" s="684"/>
      <c r="W126" s="684"/>
      <c r="X126" s="684"/>
      <c r="Y126" s="684"/>
      <c r="Z126" s="684"/>
      <c r="AA126" s="684"/>
    </row>
    <row r="127" spans="1:27" ht="28">
      <c r="A127" s="702" t="s">
        <v>2194</v>
      </c>
      <c r="B127" s="702" t="s">
        <v>2195</v>
      </c>
      <c r="C127" s="714" t="s">
        <v>23</v>
      </c>
      <c r="D127" s="717"/>
      <c r="E127" s="714" t="s">
        <v>23</v>
      </c>
      <c r="F127" s="717"/>
      <c r="G127" s="712" t="s">
        <v>23</v>
      </c>
      <c r="H127" s="717"/>
      <c r="I127" s="712" t="s">
        <v>23</v>
      </c>
      <c r="J127" s="717"/>
      <c r="K127" s="684"/>
      <c r="L127" s="684"/>
      <c r="M127" s="684"/>
      <c r="N127" s="684"/>
      <c r="O127" s="684"/>
      <c r="P127" s="684"/>
      <c r="Q127" s="684"/>
      <c r="R127" s="684"/>
      <c r="S127" s="684"/>
      <c r="T127" s="684"/>
      <c r="U127" s="684"/>
      <c r="V127" s="684"/>
      <c r="W127" s="684"/>
      <c r="X127" s="684"/>
      <c r="Y127" s="684"/>
      <c r="Z127" s="684"/>
      <c r="AA127" s="684"/>
    </row>
    <row r="128" spans="1:27" ht="28">
      <c r="A128" s="702" t="s">
        <v>2196</v>
      </c>
      <c r="B128" s="702" t="s">
        <v>2197</v>
      </c>
      <c r="C128" s="714" t="s">
        <v>23</v>
      </c>
      <c r="D128" s="717"/>
      <c r="E128" s="714" t="s">
        <v>23</v>
      </c>
      <c r="F128" s="717"/>
      <c r="G128" s="712" t="s">
        <v>23</v>
      </c>
      <c r="H128" s="717"/>
      <c r="I128" s="712" t="s">
        <v>23</v>
      </c>
      <c r="J128" s="717"/>
      <c r="K128" s="684"/>
      <c r="L128" s="684"/>
      <c r="M128" s="684"/>
      <c r="N128" s="684"/>
      <c r="O128" s="684"/>
      <c r="P128" s="684"/>
      <c r="Q128" s="684"/>
      <c r="R128" s="684"/>
      <c r="S128" s="684"/>
      <c r="T128" s="684"/>
      <c r="U128" s="684"/>
      <c r="V128" s="684"/>
      <c r="W128" s="684"/>
      <c r="X128" s="684"/>
      <c r="Y128" s="684"/>
      <c r="Z128" s="684"/>
      <c r="AA128" s="684"/>
    </row>
    <row r="129" spans="1:27" ht="28">
      <c r="A129" s="702" t="s">
        <v>2198</v>
      </c>
      <c r="B129" s="702" t="s">
        <v>2199</v>
      </c>
      <c r="C129" s="714" t="s">
        <v>23</v>
      </c>
      <c r="D129" s="717"/>
      <c r="E129" s="714" t="s">
        <v>23</v>
      </c>
      <c r="F129" s="717"/>
      <c r="G129" s="712" t="s">
        <v>23</v>
      </c>
      <c r="H129" s="717"/>
      <c r="I129" s="712" t="s">
        <v>23</v>
      </c>
      <c r="J129" s="717"/>
      <c r="K129" s="684"/>
      <c r="L129" s="684"/>
      <c r="M129" s="684"/>
      <c r="N129" s="684"/>
      <c r="O129" s="684"/>
      <c r="P129" s="684"/>
      <c r="Q129" s="684"/>
      <c r="R129" s="684"/>
      <c r="S129" s="684"/>
      <c r="T129" s="684"/>
      <c r="U129" s="684"/>
      <c r="V129" s="684"/>
      <c r="W129" s="684"/>
      <c r="X129" s="684"/>
      <c r="Y129" s="684"/>
      <c r="Z129" s="684"/>
      <c r="AA129" s="684"/>
    </row>
    <row r="130" spans="1:27" ht="28">
      <c r="A130" s="702" t="s">
        <v>2200</v>
      </c>
      <c r="B130" s="702" t="s">
        <v>2201</v>
      </c>
      <c r="C130" s="714" t="s">
        <v>23</v>
      </c>
      <c r="D130" s="717"/>
      <c r="E130" s="714" t="s">
        <v>23</v>
      </c>
      <c r="F130" s="717"/>
      <c r="G130" s="712" t="s">
        <v>23</v>
      </c>
      <c r="H130" s="717"/>
      <c r="I130" s="712" t="s">
        <v>23</v>
      </c>
      <c r="J130" s="717"/>
      <c r="K130" s="684"/>
      <c r="L130" s="684"/>
      <c r="M130" s="684"/>
      <c r="N130" s="684"/>
      <c r="O130" s="684"/>
      <c r="P130" s="684"/>
      <c r="Q130" s="684"/>
      <c r="R130" s="684"/>
      <c r="S130" s="684"/>
      <c r="T130" s="684"/>
      <c r="U130" s="684"/>
      <c r="V130" s="684"/>
      <c r="W130" s="684"/>
      <c r="X130" s="684"/>
      <c r="Y130" s="684"/>
      <c r="Z130" s="684"/>
      <c r="AA130" s="684"/>
    </row>
    <row r="131" spans="1:27" ht="28">
      <c r="A131" s="702" t="s">
        <v>2202</v>
      </c>
      <c r="B131" s="702" t="s">
        <v>2203</v>
      </c>
      <c r="C131" s="714" t="s">
        <v>23</v>
      </c>
      <c r="D131" s="717"/>
      <c r="E131" s="714" t="s">
        <v>23</v>
      </c>
      <c r="F131" s="717"/>
      <c r="G131" s="712" t="s">
        <v>23</v>
      </c>
      <c r="H131" s="717"/>
      <c r="I131" s="712" t="s">
        <v>23</v>
      </c>
      <c r="J131" s="717"/>
      <c r="K131" s="684"/>
      <c r="L131" s="684"/>
      <c r="M131" s="684"/>
      <c r="N131" s="684"/>
      <c r="O131" s="684"/>
      <c r="P131" s="684"/>
      <c r="Q131" s="684"/>
      <c r="R131" s="684"/>
      <c r="S131" s="684"/>
      <c r="T131" s="684"/>
      <c r="U131" s="684"/>
      <c r="V131" s="684"/>
      <c r="W131" s="684"/>
      <c r="X131" s="684"/>
      <c r="Y131" s="684"/>
      <c r="Z131" s="684"/>
      <c r="AA131" s="684"/>
    </row>
    <row r="132" spans="1:27" ht="14">
      <c r="A132" s="684"/>
      <c r="B132" s="684"/>
      <c r="C132" s="35"/>
      <c r="D132" s="684"/>
      <c r="E132" s="35"/>
      <c r="F132" s="684"/>
      <c r="G132" s="35"/>
      <c r="H132" s="684"/>
      <c r="I132" s="684"/>
      <c r="J132" s="684"/>
      <c r="K132" s="684"/>
      <c r="L132" s="684"/>
      <c r="M132" s="684"/>
      <c r="N132" s="684"/>
      <c r="O132" s="684"/>
      <c r="P132" s="684"/>
      <c r="Q132" s="684"/>
      <c r="R132" s="684"/>
      <c r="S132" s="684"/>
      <c r="T132" s="684"/>
      <c r="U132" s="684"/>
      <c r="V132" s="684"/>
      <c r="W132" s="684"/>
      <c r="X132" s="684"/>
      <c r="Y132" s="684"/>
      <c r="Z132" s="684"/>
      <c r="AA132" s="684"/>
    </row>
    <row r="133" spans="1:27" ht="14">
      <c r="A133" s="684"/>
      <c r="B133" s="684"/>
      <c r="C133" s="35"/>
      <c r="D133" s="684"/>
      <c r="E133" s="35"/>
      <c r="F133" s="684"/>
      <c r="G133" s="35"/>
      <c r="H133" s="684"/>
      <c r="I133" s="684"/>
      <c r="J133" s="684"/>
      <c r="K133" s="684"/>
      <c r="L133" s="684"/>
      <c r="M133" s="684"/>
      <c r="N133" s="684"/>
      <c r="O133" s="684"/>
      <c r="P133" s="684"/>
      <c r="Q133" s="684"/>
      <c r="R133" s="684"/>
      <c r="S133" s="684"/>
      <c r="T133" s="684"/>
      <c r="U133" s="684"/>
      <c r="V133" s="684"/>
      <c r="W133" s="684"/>
      <c r="X133" s="684"/>
      <c r="Y133" s="684"/>
      <c r="Z133" s="684"/>
      <c r="AA133" s="684"/>
    </row>
    <row r="134" spans="1:27" ht="14">
      <c r="A134" s="684"/>
      <c r="B134" s="684"/>
      <c r="C134" s="35"/>
      <c r="D134" s="684"/>
      <c r="E134" s="35"/>
      <c r="F134" s="684"/>
      <c r="G134" s="35"/>
      <c r="H134" s="684"/>
      <c r="I134" s="684"/>
      <c r="J134" s="684"/>
      <c r="K134" s="684"/>
      <c r="L134" s="684"/>
      <c r="M134" s="684"/>
      <c r="N134" s="684"/>
      <c r="O134" s="684"/>
      <c r="P134" s="684"/>
      <c r="Q134" s="684"/>
      <c r="R134" s="684"/>
      <c r="S134" s="684"/>
      <c r="T134" s="684"/>
      <c r="U134" s="684"/>
      <c r="V134" s="684"/>
      <c r="W134" s="684"/>
      <c r="X134" s="684"/>
      <c r="Y134" s="684"/>
      <c r="Z134" s="684"/>
      <c r="AA134" s="684"/>
    </row>
    <row r="135" spans="1:27" ht="14">
      <c r="A135" s="684"/>
      <c r="B135" s="684"/>
      <c r="C135" s="35"/>
      <c r="D135" s="684"/>
      <c r="E135" s="35"/>
      <c r="F135" s="684"/>
      <c r="G135" s="35"/>
      <c r="H135" s="684"/>
      <c r="I135" s="684"/>
      <c r="J135" s="684"/>
      <c r="K135" s="684"/>
      <c r="L135" s="684"/>
      <c r="M135" s="684"/>
      <c r="N135" s="684"/>
      <c r="O135" s="684"/>
      <c r="P135" s="684"/>
      <c r="Q135" s="684"/>
      <c r="R135" s="684"/>
      <c r="S135" s="684"/>
      <c r="T135" s="684"/>
      <c r="U135" s="684"/>
      <c r="V135" s="684"/>
      <c r="W135" s="684"/>
      <c r="X135" s="684"/>
      <c r="Y135" s="684"/>
      <c r="Z135" s="684"/>
      <c r="AA135" s="684"/>
    </row>
    <row r="136" spans="1:27" ht="14">
      <c r="A136" s="35"/>
      <c r="B136" s="35"/>
      <c r="C136" s="35"/>
      <c r="D136" s="35"/>
      <c r="E136" s="35"/>
      <c r="F136" s="35"/>
      <c r="G136" s="35"/>
      <c r="H136" s="684"/>
      <c r="I136" s="684"/>
      <c r="J136" s="684"/>
      <c r="K136" s="684"/>
      <c r="L136" s="684"/>
      <c r="M136" s="684"/>
      <c r="N136" s="684"/>
      <c r="O136" s="684"/>
      <c r="P136" s="684"/>
      <c r="Q136" s="684"/>
      <c r="R136" s="684"/>
      <c r="S136" s="684"/>
      <c r="T136" s="684"/>
      <c r="U136" s="684"/>
      <c r="V136" s="684"/>
      <c r="W136" s="684"/>
      <c r="X136" s="684"/>
      <c r="Y136" s="684"/>
      <c r="Z136" s="684"/>
      <c r="AA136" s="684"/>
    </row>
    <row r="137" spans="1:27" ht="14">
      <c r="A137" s="681" t="s">
        <v>1945</v>
      </c>
      <c r="B137" s="681" t="s">
        <v>2204</v>
      </c>
      <c r="C137" s="681"/>
      <c r="D137" s="681" t="s">
        <v>2205</v>
      </c>
      <c r="E137" s="681"/>
      <c r="F137" s="681" t="s">
        <v>2206</v>
      </c>
      <c r="G137" s="35"/>
      <c r="H137" s="684"/>
      <c r="I137" s="684"/>
      <c r="J137" s="684"/>
      <c r="K137" s="684"/>
      <c r="L137" s="684"/>
      <c r="M137" s="684"/>
      <c r="N137" s="684"/>
      <c r="O137" s="684"/>
      <c r="P137" s="684"/>
      <c r="Q137" s="684"/>
      <c r="R137" s="684"/>
      <c r="S137" s="684"/>
      <c r="T137" s="684"/>
      <c r="U137" s="684"/>
      <c r="V137" s="684"/>
      <c r="W137" s="684"/>
      <c r="X137" s="684"/>
      <c r="Y137" s="684"/>
      <c r="Z137" s="684"/>
      <c r="AA137" s="684"/>
    </row>
    <row r="138" spans="1:27" ht="20">
      <c r="A138" s="37" t="s">
        <v>2207</v>
      </c>
      <c r="B138" s="712" t="s">
        <v>9</v>
      </c>
      <c r="C138" s="37"/>
      <c r="D138" s="712" t="s">
        <v>9</v>
      </c>
      <c r="E138" s="37"/>
      <c r="F138" s="712" t="s">
        <v>9</v>
      </c>
      <c r="G138" s="35"/>
      <c r="H138" s="684"/>
      <c r="I138" s="684"/>
      <c r="J138" s="684"/>
      <c r="K138" s="684"/>
      <c r="L138" s="684"/>
      <c r="M138" s="684"/>
      <c r="N138" s="684"/>
      <c r="O138" s="684"/>
      <c r="P138" s="684"/>
      <c r="Q138" s="684"/>
      <c r="R138" s="684"/>
      <c r="S138" s="684"/>
      <c r="T138" s="684"/>
      <c r="U138" s="684"/>
      <c r="V138" s="684"/>
      <c r="W138" s="684"/>
      <c r="X138" s="684"/>
      <c r="Y138" s="684"/>
      <c r="Z138" s="684"/>
      <c r="AA138" s="684"/>
    </row>
    <row r="139" spans="1:27" ht="20">
      <c r="A139" s="37" t="s">
        <v>2208</v>
      </c>
      <c r="B139" s="712" t="s">
        <v>9</v>
      </c>
      <c r="C139" s="37"/>
      <c r="D139" s="712" t="s">
        <v>9</v>
      </c>
      <c r="E139" s="37"/>
      <c r="F139" s="712" t="s">
        <v>9</v>
      </c>
      <c r="G139" s="35"/>
      <c r="H139" s="684"/>
      <c r="I139" s="684"/>
      <c r="J139" s="684"/>
      <c r="K139" s="684"/>
      <c r="L139" s="684"/>
      <c r="M139" s="684"/>
      <c r="N139" s="684"/>
      <c r="O139" s="684"/>
      <c r="P139" s="684"/>
      <c r="Q139" s="684"/>
      <c r="R139" s="684"/>
      <c r="S139" s="684"/>
      <c r="T139" s="684"/>
      <c r="U139" s="684"/>
      <c r="V139" s="684"/>
      <c r="W139" s="684"/>
      <c r="X139" s="684"/>
      <c r="Y139" s="684"/>
      <c r="Z139" s="684"/>
      <c r="AA139" s="684"/>
    </row>
    <row r="140" spans="1:27" ht="20">
      <c r="A140" s="37" t="s">
        <v>2209</v>
      </c>
      <c r="B140" s="712" t="s">
        <v>9</v>
      </c>
      <c r="C140" s="37"/>
      <c r="D140" s="712" t="s">
        <v>9</v>
      </c>
      <c r="E140" s="37"/>
      <c r="F140" s="712" t="s">
        <v>9</v>
      </c>
      <c r="H140" s="684"/>
      <c r="I140" s="684"/>
      <c r="J140" s="684"/>
      <c r="K140" s="684"/>
      <c r="L140" s="684"/>
      <c r="M140" s="684"/>
      <c r="N140" s="684"/>
      <c r="O140" s="684"/>
      <c r="P140" s="684"/>
      <c r="Q140" s="684"/>
      <c r="R140" s="684"/>
      <c r="S140" s="684"/>
      <c r="T140" s="684"/>
      <c r="U140" s="684"/>
      <c r="V140" s="684"/>
      <c r="W140" s="684"/>
      <c r="X140" s="684"/>
      <c r="Y140" s="684"/>
      <c r="Z140" s="684"/>
      <c r="AA140" s="684"/>
    </row>
    <row r="141" spans="1:27" ht="20">
      <c r="A141" s="37" t="s">
        <v>2210</v>
      </c>
      <c r="B141" s="712" t="s">
        <v>9</v>
      </c>
      <c r="C141" s="37"/>
      <c r="D141" s="712" t="s">
        <v>9</v>
      </c>
      <c r="E141" s="37"/>
      <c r="F141" s="712" t="s">
        <v>9</v>
      </c>
      <c r="H141" s="684"/>
      <c r="I141" s="684"/>
      <c r="J141" s="684"/>
      <c r="K141" s="684"/>
      <c r="L141" s="684"/>
      <c r="M141" s="684"/>
      <c r="N141" s="684"/>
      <c r="O141" s="684"/>
      <c r="P141" s="684"/>
      <c r="Q141" s="684"/>
      <c r="R141" s="684"/>
      <c r="S141" s="684"/>
      <c r="T141" s="684"/>
      <c r="U141" s="684"/>
      <c r="V141" s="684"/>
      <c r="W141" s="684"/>
      <c r="X141" s="684"/>
      <c r="Y141" s="684"/>
      <c r="Z141" s="684"/>
      <c r="AA141" s="684"/>
    </row>
    <row r="142" spans="1:27" ht="20" hidden="1">
      <c r="A142" s="37" t="s">
        <v>2211</v>
      </c>
      <c r="B142" s="712" t="s">
        <v>9</v>
      </c>
      <c r="C142" s="37"/>
      <c r="D142" s="712" t="s">
        <v>9</v>
      </c>
      <c r="E142" s="37"/>
      <c r="F142" s="712" t="s">
        <v>9</v>
      </c>
      <c r="H142" s="684"/>
      <c r="I142" s="684"/>
      <c r="J142" s="684"/>
      <c r="K142" s="684"/>
      <c r="L142" s="684"/>
      <c r="M142" s="684"/>
      <c r="N142" s="684"/>
      <c r="O142" s="684"/>
      <c r="P142" s="684"/>
      <c r="Q142" s="684"/>
      <c r="R142" s="684"/>
      <c r="S142" s="684"/>
      <c r="T142" s="684"/>
      <c r="U142" s="684"/>
      <c r="V142" s="684"/>
      <c r="W142" s="684"/>
      <c r="X142" s="684"/>
      <c r="Y142" s="684"/>
      <c r="Z142" s="684"/>
      <c r="AA142" s="684"/>
    </row>
    <row r="143" spans="1:27" ht="34.5" customHeight="1">
      <c r="A143" s="37" t="s">
        <v>2212</v>
      </c>
      <c r="B143" s="714" t="s">
        <v>9</v>
      </c>
      <c r="C143" s="37"/>
      <c r="D143" s="714" t="s">
        <v>9</v>
      </c>
      <c r="E143" s="37"/>
      <c r="F143" s="714" t="s">
        <v>9</v>
      </c>
      <c r="H143" s="684"/>
      <c r="I143" s="684"/>
      <c r="J143" s="684"/>
      <c r="K143" s="684"/>
      <c r="L143" s="684"/>
      <c r="M143" s="684"/>
      <c r="N143" s="684"/>
      <c r="O143" s="684"/>
      <c r="P143" s="684"/>
      <c r="Q143" s="684"/>
      <c r="R143" s="684"/>
      <c r="S143" s="684"/>
      <c r="T143" s="684"/>
      <c r="U143" s="684"/>
      <c r="V143" s="684"/>
      <c r="W143" s="684"/>
      <c r="X143" s="684"/>
      <c r="Y143" s="684"/>
      <c r="Z143" s="684"/>
      <c r="AA143" s="684"/>
    </row>
    <row r="144" spans="1:27" ht="45" customHeight="1">
      <c r="A144" s="37" t="s">
        <v>2213</v>
      </c>
      <c r="B144" s="714" t="s">
        <v>9</v>
      </c>
      <c r="C144" s="37"/>
      <c r="D144" s="714" t="s">
        <v>9</v>
      </c>
      <c r="E144" s="37"/>
      <c r="F144" s="714" t="s">
        <v>9</v>
      </c>
      <c r="H144" s="684"/>
      <c r="I144" s="684"/>
      <c r="J144" s="684"/>
      <c r="K144" s="684"/>
      <c r="L144" s="684"/>
      <c r="M144" s="684"/>
      <c r="N144" s="684"/>
      <c r="O144" s="684"/>
      <c r="P144" s="684"/>
      <c r="Q144" s="684"/>
      <c r="R144" s="684"/>
      <c r="S144" s="684"/>
      <c r="T144" s="684"/>
      <c r="U144" s="684"/>
      <c r="V144" s="684"/>
      <c r="W144" s="684"/>
      <c r="X144" s="684"/>
      <c r="Y144" s="684"/>
      <c r="Z144" s="684"/>
      <c r="AA144" s="684"/>
    </row>
    <row r="145" spans="1:27" ht="39" customHeight="1">
      <c r="A145" s="37" t="s">
        <v>2214</v>
      </c>
      <c r="B145" s="714" t="s">
        <v>9</v>
      </c>
      <c r="C145" s="37"/>
      <c r="D145" s="714" t="s">
        <v>9</v>
      </c>
      <c r="E145" s="37"/>
      <c r="F145" s="714" t="s">
        <v>9</v>
      </c>
      <c r="H145" s="684"/>
      <c r="I145" s="684"/>
      <c r="J145" s="684"/>
      <c r="K145" s="684"/>
      <c r="L145" s="684"/>
      <c r="M145" s="684"/>
      <c r="N145" s="684"/>
      <c r="O145" s="684"/>
      <c r="P145" s="684"/>
      <c r="Q145" s="684"/>
      <c r="R145" s="684"/>
      <c r="S145" s="684"/>
      <c r="T145" s="684"/>
      <c r="U145" s="684"/>
      <c r="V145" s="684"/>
      <c r="W145" s="684"/>
      <c r="X145" s="684"/>
      <c r="Y145" s="684"/>
      <c r="Z145" s="684"/>
      <c r="AA145" s="684"/>
    </row>
    <row r="146" spans="1:27" ht="39.75" customHeight="1">
      <c r="A146" s="35"/>
      <c r="B146" s="35"/>
      <c r="C146" s="35"/>
      <c r="D146" s="35"/>
      <c r="E146" s="35"/>
      <c r="F146" s="35"/>
      <c r="H146" s="684"/>
      <c r="I146" s="684"/>
      <c r="J146" s="684"/>
      <c r="K146" s="684"/>
      <c r="L146" s="684"/>
      <c r="M146" s="684"/>
      <c r="N146" s="684"/>
      <c r="O146" s="684"/>
      <c r="P146" s="684"/>
      <c r="Q146" s="684"/>
      <c r="R146" s="684"/>
      <c r="S146" s="684"/>
      <c r="T146" s="684"/>
      <c r="U146" s="684"/>
      <c r="V146" s="684"/>
      <c r="W146" s="684"/>
      <c r="X146" s="684"/>
      <c r="Y146" s="684"/>
      <c r="Z146" s="684"/>
      <c r="AA146" s="684"/>
    </row>
    <row r="147" spans="1:27" ht="41.25" customHeight="1">
      <c r="A147" s="35"/>
      <c r="B147" s="35"/>
      <c r="C147" s="35"/>
      <c r="D147" s="35"/>
      <c r="E147" s="35"/>
      <c r="F147" s="35"/>
      <c r="H147" s="684"/>
      <c r="I147" s="684"/>
      <c r="J147" s="684"/>
      <c r="K147" s="684"/>
      <c r="L147" s="684"/>
      <c r="M147" s="684"/>
      <c r="N147" s="684"/>
      <c r="O147" s="684"/>
      <c r="P147" s="684"/>
      <c r="Q147" s="684"/>
      <c r="R147" s="684"/>
      <c r="S147" s="684"/>
      <c r="T147" s="684"/>
      <c r="U147" s="684"/>
      <c r="V147" s="684"/>
      <c r="W147" s="684"/>
      <c r="X147" s="684"/>
      <c r="Y147" s="684"/>
      <c r="Z147" s="684"/>
      <c r="AA147" s="684"/>
    </row>
    <row r="148" spans="1:27" ht="38.25" customHeight="1">
      <c r="H148" s="684"/>
      <c r="I148" s="684"/>
      <c r="J148" s="684"/>
      <c r="K148" s="684"/>
      <c r="L148" s="684"/>
      <c r="M148" s="684"/>
      <c r="N148" s="684"/>
      <c r="O148" s="684"/>
      <c r="P148" s="684"/>
      <c r="Q148" s="684"/>
      <c r="R148" s="684"/>
      <c r="S148" s="684"/>
      <c r="T148" s="684"/>
      <c r="U148" s="684"/>
      <c r="V148" s="684"/>
      <c r="W148" s="684"/>
      <c r="X148" s="684"/>
      <c r="Y148" s="684"/>
      <c r="Z148" s="684"/>
      <c r="AA148" s="684"/>
    </row>
    <row r="149" spans="1:27" ht="41.25" customHeight="1">
      <c r="H149" s="684"/>
      <c r="I149" s="684"/>
      <c r="J149" s="684"/>
      <c r="K149" s="684"/>
      <c r="L149" s="684"/>
      <c r="M149" s="684"/>
      <c r="N149" s="684"/>
      <c r="O149" s="684"/>
      <c r="P149" s="684"/>
      <c r="Q149" s="684"/>
      <c r="R149" s="684"/>
      <c r="S149" s="684"/>
      <c r="T149" s="684"/>
      <c r="U149" s="684"/>
      <c r="V149" s="684"/>
      <c r="W149" s="684"/>
      <c r="X149" s="684"/>
      <c r="Y149" s="684"/>
      <c r="Z149" s="684"/>
      <c r="AA149" s="684"/>
    </row>
    <row r="150" spans="1:27" ht="42" customHeight="1">
      <c r="H150" s="684"/>
      <c r="I150" s="684"/>
      <c r="J150" s="684"/>
      <c r="K150" s="684"/>
      <c r="L150" s="684"/>
      <c r="M150" s="684"/>
      <c r="N150" s="684"/>
      <c r="O150" s="684"/>
      <c r="Q150" s="684"/>
      <c r="R150" s="684"/>
      <c r="S150" s="684"/>
      <c r="T150" s="684"/>
      <c r="U150" s="684"/>
      <c r="V150" s="684"/>
      <c r="W150" s="684"/>
      <c r="X150" s="684"/>
      <c r="Y150" s="684"/>
      <c r="Z150" s="684"/>
      <c r="AA150" s="684"/>
    </row>
    <row r="151" spans="1:27" ht="44.25" customHeight="1">
      <c r="H151" s="684"/>
      <c r="I151" s="684"/>
      <c r="J151" s="684"/>
      <c r="K151" s="684"/>
      <c r="L151" s="684"/>
      <c r="M151" s="684"/>
      <c r="N151" s="684"/>
      <c r="O151" s="684"/>
      <c r="P151" s="684"/>
      <c r="Q151" s="684"/>
      <c r="R151" s="684"/>
      <c r="S151" s="684"/>
      <c r="T151" s="684"/>
      <c r="U151" s="684"/>
      <c r="V151" s="684"/>
      <c r="W151" s="684"/>
      <c r="X151" s="684"/>
      <c r="Y151" s="684"/>
      <c r="Z151" s="684"/>
      <c r="AA151" s="684"/>
    </row>
    <row r="152" spans="1:27" ht="45.75" customHeight="1">
      <c r="H152" s="684"/>
      <c r="I152" s="684"/>
      <c r="J152" s="684"/>
      <c r="K152" s="684"/>
      <c r="L152" s="684"/>
      <c r="M152" s="684"/>
      <c r="N152" s="684"/>
      <c r="O152" s="684"/>
      <c r="P152" s="684"/>
      <c r="Q152" s="684"/>
      <c r="R152" s="684"/>
      <c r="S152" s="684"/>
      <c r="T152" s="684"/>
      <c r="U152" s="684"/>
      <c r="V152" s="684"/>
      <c r="W152" s="684"/>
      <c r="X152" s="684"/>
      <c r="Y152" s="684"/>
      <c r="Z152" s="684"/>
      <c r="AA152" s="684"/>
    </row>
    <row r="153" spans="1:27" ht="56.25" customHeight="1">
      <c r="H153" s="684"/>
      <c r="I153" s="684"/>
      <c r="J153" s="684"/>
      <c r="K153" s="684"/>
      <c r="L153" s="684"/>
      <c r="M153" s="684"/>
      <c r="N153" s="684"/>
      <c r="O153" s="684"/>
      <c r="P153" s="684"/>
      <c r="Q153" s="684"/>
      <c r="R153" s="684"/>
      <c r="S153" s="684"/>
      <c r="T153" s="684"/>
      <c r="U153" s="684"/>
      <c r="V153" s="684"/>
      <c r="W153" s="684"/>
      <c r="X153" s="684"/>
      <c r="Y153" s="684"/>
      <c r="Z153" s="684"/>
      <c r="AA153" s="684"/>
    </row>
    <row r="154" spans="1:27" ht="49.5" customHeight="1">
      <c r="H154" s="684"/>
      <c r="I154" s="684"/>
      <c r="J154" s="684"/>
      <c r="K154" s="684"/>
      <c r="L154" s="684"/>
      <c r="M154" s="684"/>
      <c r="N154" s="684"/>
      <c r="O154" s="684"/>
      <c r="P154" s="684"/>
      <c r="Q154" s="684"/>
      <c r="R154" s="684"/>
      <c r="S154" s="684"/>
      <c r="T154" s="684"/>
      <c r="U154" s="684"/>
      <c r="V154" s="684"/>
      <c r="W154" s="684"/>
      <c r="X154" s="684"/>
      <c r="Y154" s="684"/>
      <c r="Z154" s="684"/>
      <c r="AA154" s="684"/>
    </row>
    <row r="155" spans="1:27" ht="42" customHeight="1">
      <c r="H155" s="684"/>
      <c r="I155" s="684"/>
      <c r="J155" s="684"/>
      <c r="K155" s="684"/>
      <c r="L155" s="684"/>
      <c r="M155" s="684"/>
      <c r="N155" s="684"/>
      <c r="O155" s="684"/>
      <c r="P155" s="684"/>
      <c r="Q155" s="684"/>
      <c r="R155" s="684"/>
      <c r="S155" s="684"/>
      <c r="T155" s="684"/>
      <c r="U155" s="684"/>
      <c r="V155" s="684"/>
      <c r="W155" s="684"/>
      <c r="X155" s="684"/>
      <c r="Y155" s="684"/>
      <c r="Z155" s="684"/>
      <c r="AA155" s="684"/>
    </row>
    <row r="156" spans="1:27" ht="42" customHeight="1">
      <c r="H156" s="684"/>
      <c r="I156" s="684"/>
      <c r="J156" s="684"/>
      <c r="K156" s="684"/>
      <c r="L156" s="684"/>
      <c r="M156" s="684"/>
      <c r="N156" s="684"/>
      <c r="O156" s="684"/>
      <c r="P156" s="684"/>
      <c r="Q156" s="684"/>
      <c r="R156" s="684"/>
      <c r="S156" s="684"/>
      <c r="T156" s="684"/>
      <c r="U156" s="684"/>
      <c r="V156" s="684"/>
      <c r="W156" s="684"/>
      <c r="X156" s="684"/>
      <c r="Y156" s="684"/>
      <c r="Z156" s="684"/>
      <c r="AA156" s="684"/>
    </row>
    <row r="157" spans="1:27" ht="45.75" customHeight="1">
      <c r="H157" s="684"/>
      <c r="I157" s="684"/>
      <c r="J157" s="684"/>
      <c r="K157" s="684"/>
      <c r="L157" s="684"/>
      <c r="M157" s="684"/>
      <c r="N157" s="684"/>
      <c r="O157" s="684"/>
      <c r="P157" s="684"/>
      <c r="Q157" s="684"/>
      <c r="R157" s="684"/>
      <c r="S157" s="684"/>
      <c r="T157" s="684"/>
      <c r="U157" s="684"/>
      <c r="V157" s="684"/>
      <c r="W157" s="684"/>
      <c r="X157" s="684"/>
      <c r="Y157" s="684"/>
      <c r="Z157" s="684"/>
      <c r="AA157" s="684"/>
    </row>
    <row r="158" spans="1:27" ht="42" customHeight="1">
      <c r="H158" s="684"/>
      <c r="I158" s="684"/>
      <c r="J158" s="684"/>
      <c r="K158" s="684"/>
      <c r="L158" s="684"/>
      <c r="M158" s="684"/>
      <c r="N158" s="684"/>
      <c r="O158" s="684"/>
      <c r="P158" s="684"/>
      <c r="Q158" s="684"/>
      <c r="R158" s="684"/>
      <c r="S158" s="684"/>
      <c r="T158" s="684"/>
      <c r="U158" s="684"/>
      <c r="V158" s="684"/>
      <c r="W158" s="684"/>
      <c r="X158" s="684"/>
      <c r="Y158" s="684"/>
      <c r="Z158" s="684"/>
      <c r="AA158" s="684"/>
    </row>
    <row r="159" spans="1:27" ht="43.5" customHeight="1">
      <c r="H159" s="684"/>
      <c r="I159" s="684"/>
      <c r="J159" s="684"/>
      <c r="K159" s="684"/>
      <c r="L159" s="684"/>
      <c r="M159" s="684"/>
      <c r="N159" s="684"/>
      <c r="O159" s="684"/>
      <c r="P159" s="684"/>
      <c r="Q159" s="684"/>
      <c r="R159" s="684"/>
      <c r="S159" s="684"/>
      <c r="T159" s="684"/>
      <c r="U159" s="684"/>
      <c r="V159" s="684"/>
      <c r="W159" s="684"/>
      <c r="X159" s="684"/>
      <c r="Y159" s="684"/>
      <c r="Z159" s="684"/>
      <c r="AA159" s="684"/>
    </row>
    <row r="160" spans="1:27" ht="39.75" customHeight="1">
      <c r="H160" s="684"/>
      <c r="I160" s="684"/>
      <c r="J160" s="684"/>
      <c r="K160" s="684"/>
      <c r="L160" s="684"/>
      <c r="M160" s="684"/>
      <c r="N160" s="684"/>
      <c r="O160" s="684"/>
      <c r="P160" s="684"/>
      <c r="Q160" s="684"/>
      <c r="R160" s="684"/>
      <c r="S160" s="684"/>
      <c r="T160" s="684"/>
      <c r="U160" s="684"/>
      <c r="V160" s="684"/>
      <c r="W160" s="684"/>
      <c r="X160" s="684"/>
      <c r="Y160" s="684"/>
      <c r="Z160" s="684"/>
      <c r="AA160" s="684"/>
    </row>
    <row r="161" spans="1:27" ht="53.25" customHeight="1">
      <c r="H161" s="684"/>
      <c r="I161" s="684"/>
      <c r="J161" s="684"/>
      <c r="K161" s="684"/>
      <c r="L161" s="684"/>
      <c r="M161" s="684"/>
      <c r="N161" s="684"/>
      <c r="O161" s="684"/>
      <c r="P161" s="684"/>
      <c r="Q161" s="684"/>
      <c r="R161" s="684"/>
      <c r="S161" s="684"/>
      <c r="T161" s="684"/>
      <c r="U161" s="684"/>
      <c r="V161" s="684"/>
      <c r="W161" s="684"/>
      <c r="X161" s="684"/>
      <c r="Y161" s="684"/>
      <c r="Z161" s="684"/>
      <c r="AA161" s="684"/>
    </row>
    <row r="162" spans="1:27" ht="49.5" customHeight="1">
      <c r="H162" s="684"/>
      <c r="I162" s="684"/>
      <c r="J162" s="684"/>
      <c r="K162" s="684"/>
      <c r="L162" s="684"/>
      <c r="M162" s="684"/>
      <c r="N162" s="684"/>
      <c r="O162" s="684"/>
      <c r="P162" s="684"/>
      <c r="Q162" s="684"/>
      <c r="R162" s="684"/>
      <c r="S162" s="684"/>
      <c r="T162" s="684"/>
      <c r="U162" s="684"/>
      <c r="V162" s="684"/>
      <c r="W162" s="684"/>
      <c r="X162" s="684"/>
      <c r="Y162" s="684"/>
      <c r="Z162" s="684"/>
      <c r="AA162" s="684"/>
    </row>
    <row r="163" spans="1:27" ht="38.25" customHeight="1">
      <c r="H163" s="684"/>
      <c r="I163" s="684"/>
      <c r="J163" s="684"/>
      <c r="K163" s="684"/>
      <c r="L163" s="684"/>
      <c r="M163" s="684"/>
      <c r="N163" s="684"/>
      <c r="O163" s="684"/>
      <c r="P163" s="684"/>
      <c r="Q163" s="684"/>
      <c r="R163" s="684"/>
      <c r="S163" s="684"/>
      <c r="T163" s="684"/>
      <c r="U163" s="684"/>
      <c r="V163" s="684"/>
      <c r="W163" s="684"/>
      <c r="X163" s="684"/>
      <c r="Y163" s="684"/>
      <c r="Z163" s="684"/>
      <c r="AA163" s="684"/>
    </row>
    <row r="164" spans="1:27" ht="42" customHeight="1">
      <c r="H164" s="684"/>
      <c r="I164" s="684"/>
      <c r="J164" s="684"/>
      <c r="K164" s="684"/>
      <c r="L164" s="684"/>
      <c r="M164" s="684"/>
      <c r="N164" s="684"/>
      <c r="O164" s="684"/>
      <c r="P164" s="684"/>
      <c r="Q164" s="684"/>
      <c r="R164" s="684"/>
      <c r="S164" s="684"/>
      <c r="T164" s="684"/>
      <c r="U164" s="684"/>
      <c r="V164" s="684"/>
      <c r="W164" s="684"/>
      <c r="X164" s="684"/>
      <c r="Y164" s="684"/>
      <c r="Z164" s="684"/>
      <c r="AA164" s="684"/>
    </row>
    <row r="165" spans="1:27" ht="36" customHeight="1">
      <c r="H165" s="684"/>
      <c r="I165" s="684"/>
      <c r="J165" s="684"/>
      <c r="K165" s="684"/>
      <c r="L165" s="684"/>
      <c r="M165" s="684"/>
      <c r="N165" s="684"/>
      <c r="O165" s="684"/>
      <c r="P165" s="684"/>
      <c r="Q165" s="684"/>
      <c r="R165" s="684"/>
      <c r="S165" s="684"/>
      <c r="T165" s="684"/>
      <c r="U165" s="684"/>
      <c r="V165" s="684"/>
      <c r="W165" s="684"/>
      <c r="X165" s="684"/>
      <c r="Y165" s="684"/>
      <c r="Z165" s="684"/>
      <c r="AA165" s="684"/>
    </row>
    <row r="166" spans="1:27" ht="43.5" customHeight="1">
      <c r="H166" s="684"/>
      <c r="I166" s="684"/>
      <c r="J166" s="684"/>
      <c r="K166" s="684"/>
      <c r="L166" s="684"/>
      <c r="M166" s="684"/>
      <c r="N166" s="684"/>
      <c r="O166" s="684"/>
      <c r="P166" s="684"/>
      <c r="Q166" s="684"/>
      <c r="R166" s="684"/>
      <c r="S166" s="684"/>
      <c r="T166" s="684"/>
      <c r="U166" s="684"/>
      <c r="V166" s="684"/>
      <c r="W166" s="684"/>
      <c r="X166" s="684"/>
      <c r="Y166" s="684"/>
      <c r="Z166" s="684"/>
      <c r="AA166" s="684"/>
    </row>
    <row r="167" spans="1:27" ht="43.5" customHeight="1">
      <c r="H167" s="684"/>
      <c r="I167" s="684"/>
      <c r="J167" s="684"/>
      <c r="K167" s="684"/>
      <c r="L167" s="684"/>
      <c r="M167" s="684"/>
      <c r="N167" s="684"/>
      <c r="O167" s="684"/>
      <c r="P167" s="684"/>
      <c r="Q167" s="684"/>
      <c r="R167" s="684"/>
      <c r="S167" s="684"/>
      <c r="T167" s="684"/>
      <c r="U167" s="684"/>
      <c r="V167" s="684"/>
      <c r="W167" s="684"/>
      <c r="X167" s="684"/>
      <c r="Y167" s="684"/>
      <c r="Z167" s="684"/>
      <c r="AA167" s="684"/>
    </row>
    <row r="174" spans="1:27" ht="28.5" customHeight="1">
      <c r="A174" s="718" t="s">
        <v>2215</v>
      </c>
    </row>
  </sheetData>
  <mergeCells count="2">
    <mergeCell ref="I1:N1"/>
    <mergeCell ref="H84:L84"/>
  </mergeCells>
  <phoneticPr fontId="106" type="noConversion"/>
  <dataValidations count="1">
    <dataValidation type="list" showInputMessage="1" showErrorMessage="1" sqref="B138:B145 M32:M53 K32:K53 I32:I131 G32:G149 F138:F145 E2:E149 D138:D145 C2:C149" xr:uid="{00000000-0002-0000-0E00-000000000000}">
      <formula1>"Status,PASS,FAIL,NT,"</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Y19"/>
  <sheetViews>
    <sheetView workbookViewId="0">
      <pane ySplit="1" topLeftCell="A2" activePane="bottomLeft" state="frozen"/>
      <selection pane="bottomLeft"/>
    </sheetView>
  </sheetViews>
  <sheetFormatPr defaultRowHeight="14"/>
  <cols>
    <col min="1" max="1" width="27.08984375" style="35" customWidth="1"/>
    <col min="2" max="2" width="13.453125" style="35" customWidth="1"/>
    <col min="3" max="3" width="13.6328125" style="35" customWidth="1"/>
    <col min="4" max="4" width="26.81640625" style="35" customWidth="1"/>
    <col min="5" max="5" width="26.7265625" style="35" customWidth="1"/>
    <col min="6" max="6" width="40.6328125" style="35" customWidth="1"/>
    <col min="7" max="7" width="27.08984375" style="35" customWidth="1"/>
    <col min="8" max="8" width="13.36328125" style="35" customWidth="1"/>
    <col min="10" max="10" width="13.453125" style="35" customWidth="1"/>
    <col min="11" max="11" width="26.7265625" style="35" customWidth="1"/>
  </cols>
  <sheetData>
    <row r="1" spans="1:25" ht="33" customHeight="1">
      <c r="A1" s="629" t="s">
        <v>0</v>
      </c>
      <c r="B1" s="630" t="s">
        <v>1</v>
      </c>
      <c r="C1" s="630" t="s">
        <v>2</v>
      </c>
      <c r="D1" s="631" t="s">
        <v>3</v>
      </c>
      <c r="E1" s="632" t="s">
        <v>4</v>
      </c>
      <c r="F1" s="163" t="s">
        <v>5</v>
      </c>
      <c r="G1" s="163" t="s">
        <v>6</v>
      </c>
      <c r="H1" s="163" t="s">
        <v>7</v>
      </c>
      <c r="I1" s="633" t="s">
        <v>8</v>
      </c>
      <c r="J1" s="2" t="s">
        <v>9</v>
      </c>
      <c r="K1" s="633" t="s">
        <v>10</v>
      </c>
      <c r="L1" s="634" t="s">
        <v>12</v>
      </c>
    </row>
    <row r="2" spans="1:25" ht="280">
      <c r="A2" s="192" t="s">
        <v>1725</v>
      </c>
      <c r="B2" s="221"/>
      <c r="C2" s="217" t="s">
        <v>16</v>
      </c>
      <c r="D2" s="192" t="s">
        <v>1726</v>
      </c>
      <c r="E2" s="221"/>
      <c r="F2" s="192" t="s">
        <v>1727</v>
      </c>
      <c r="G2" s="192" t="s">
        <v>1728</v>
      </c>
      <c r="H2" s="192" t="s">
        <v>21</v>
      </c>
      <c r="I2" s="59"/>
      <c r="J2" s="189" t="s">
        <v>23</v>
      </c>
      <c r="K2" s="59"/>
      <c r="L2" s="600" t="s">
        <v>1729</v>
      </c>
      <c r="M2" s="600"/>
      <c r="N2" s="600"/>
      <c r="O2" s="600"/>
      <c r="P2" s="600"/>
      <c r="Q2" s="600"/>
      <c r="R2" s="600"/>
      <c r="S2" s="600"/>
      <c r="T2" s="600"/>
      <c r="U2" s="600"/>
      <c r="V2" s="600"/>
      <c r="W2" s="600"/>
      <c r="X2" s="600"/>
      <c r="Y2" s="600"/>
    </row>
    <row r="3" spans="1:25" ht="252">
      <c r="A3" s="192" t="s">
        <v>1730</v>
      </c>
      <c r="B3" s="173"/>
      <c r="C3" s="174" t="s">
        <v>16</v>
      </c>
      <c r="D3" s="172" t="s">
        <v>1731</v>
      </c>
      <c r="E3" s="173"/>
      <c r="F3" s="172" t="s">
        <v>1732</v>
      </c>
      <c r="G3" s="172" t="s">
        <v>1733</v>
      </c>
      <c r="H3" s="172" t="s">
        <v>21</v>
      </c>
      <c r="I3" s="635"/>
      <c r="J3" s="111" t="s">
        <v>23</v>
      </c>
      <c r="K3" s="635"/>
      <c r="L3" s="600" t="s">
        <v>1734</v>
      </c>
      <c r="M3" s="600"/>
      <c r="N3" s="600"/>
      <c r="O3" s="600"/>
      <c r="P3" s="600"/>
      <c r="Q3" s="600"/>
      <c r="R3" s="600"/>
      <c r="S3" s="600"/>
      <c r="T3" s="600"/>
      <c r="U3" s="600"/>
      <c r="V3" s="600"/>
      <c r="W3" s="600"/>
      <c r="X3" s="600"/>
      <c r="Y3" s="600"/>
    </row>
    <row r="4" spans="1:25" ht="280">
      <c r="A4" s="192" t="s">
        <v>1735</v>
      </c>
      <c r="B4" s="221"/>
      <c r="C4" s="217" t="s">
        <v>16</v>
      </c>
      <c r="D4" s="192" t="s">
        <v>1736</v>
      </c>
      <c r="E4" s="221"/>
      <c r="F4" s="192" t="s">
        <v>1737</v>
      </c>
      <c r="G4" s="192" t="s">
        <v>1738</v>
      </c>
      <c r="H4" s="192" t="s">
        <v>21</v>
      </c>
      <c r="I4" s="59"/>
      <c r="J4" s="189" t="s">
        <v>23</v>
      </c>
      <c r="K4" s="59"/>
      <c r="L4" s="600"/>
      <c r="M4" s="600"/>
      <c r="N4" s="600"/>
      <c r="O4" s="600"/>
      <c r="P4" s="600"/>
      <c r="Q4" s="600"/>
      <c r="R4" s="600"/>
      <c r="S4" s="600"/>
      <c r="T4" s="600"/>
      <c r="U4" s="600"/>
      <c r="V4" s="600"/>
      <c r="W4" s="600"/>
      <c r="X4" s="600"/>
      <c r="Y4" s="600"/>
    </row>
    <row r="5" spans="1:25" ht="42">
      <c r="A5" s="192" t="s">
        <v>1739</v>
      </c>
      <c r="B5" s="173"/>
      <c r="C5" s="174" t="s">
        <v>16</v>
      </c>
      <c r="D5" s="172" t="s">
        <v>1740</v>
      </c>
      <c r="E5" s="173"/>
      <c r="F5" s="173" t="s">
        <v>1741</v>
      </c>
      <c r="G5" s="172" t="s">
        <v>1742</v>
      </c>
      <c r="H5" s="172" t="s">
        <v>21</v>
      </c>
      <c r="I5" s="74"/>
      <c r="J5" s="111" t="s">
        <v>23</v>
      </c>
      <c r="K5" s="74"/>
      <c r="L5" s="600"/>
      <c r="M5" s="600"/>
      <c r="N5" s="600"/>
      <c r="O5" s="600"/>
      <c r="P5" s="600"/>
      <c r="Q5" s="600"/>
      <c r="R5" s="600"/>
      <c r="S5" s="600"/>
      <c r="T5" s="600"/>
      <c r="U5" s="600"/>
      <c r="V5" s="600"/>
      <c r="W5" s="600"/>
      <c r="X5" s="600"/>
      <c r="Y5" s="600"/>
    </row>
    <row r="6" spans="1:25" ht="56">
      <c r="A6" s="192" t="s">
        <v>1743</v>
      </c>
      <c r="B6" s="173"/>
      <c r="C6" s="174" t="s">
        <v>16</v>
      </c>
      <c r="D6" s="172" t="s">
        <v>1744</v>
      </c>
      <c r="E6" s="173"/>
      <c r="F6" s="172" t="s">
        <v>1745</v>
      </c>
      <c r="G6" s="172" t="s">
        <v>1746</v>
      </c>
      <c r="H6" s="172" t="s">
        <v>21</v>
      </c>
      <c r="I6" s="74"/>
      <c r="J6" s="111" t="s">
        <v>23</v>
      </c>
      <c r="K6" s="74" t="s">
        <v>1747</v>
      </c>
      <c r="L6" s="600" t="s">
        <v>1748</v>
      </c>
      <c r="M6" s="600"/>
      <c r="N6" s="600"/>
      <c r="O6" s="600"/>
      <c r="P6" s="600"/>
      <c r="Q6" s="600"/>
      <c r="R6" s="600"/>
      <c r="S6" s="600"/>
      <c r="T6" s="600"/>
      <c r="U6" s="600"/>
      <c r="V6" s="600"/>
      <c r="W6" s="600"/>
      <c r="X6" s="600"/>
      <c r="Y6" s="600"/>
    </row>
    <row r="7" spans="1:25" ht="140">
      <c r="A7" s="192" t="s">
        <v>1749</v>
      </c>
      <c r="B7" s="173"/>
      <c r="C7" s="174" t="s">
        <v>16</v>
      </c>
      <c r="D7" s="172" t="s">
        <v>1750</v>
      </c>
      <c r="E7" s="173"/>
      <c r="F7" s="173" t="s">
        <v>1751</v>
      </c>
      <c r="G7" s="172" t="s">
        <v>1752</v>
      </c>
      <c r="H7" s="172" t="s">
        <v>21</v>
      </c>
      <c r="I7" s="74"/>
      <c r="J7" s="111" t="s">
        <v>23</v>
      </c>
      <c r="K7" s="74" t="s">
        <v>1753</v>
      </c>
      <c r="L7" s="600"/>
      <c r="M7" s="600"/>
      <c r="N7" s="600"/>
      <c r="O7" s="600"/>
      <c r="P7" s="600"/>
      <c r="Q7" s="600"/>
      <c r="R7" s="600"/>
      <c r="S7" s="600"/>
      <c r="T7" s="600"/>
      <c r="U7" s="600"/>
      <c r="V7" s="600"/>
      <c r="W7" s="600"/>
      <c r="X7" s="600"/>
      <c r="Y7" s="600"/>
    </row>
    <row r="8" spans="1:25" ht="210">
      <c r="A8" s="192" t="s">
        <v>1754</v>
      </c>
      <c r="B8" s="173"/>
      <c r="C8" s="174" t="s">
        <v>16</v>
      </c>
      <c r="D8" s="173" t="s">
        <v>1755</v>
      </c>
      <c r="E8" s="173"/>
      <c r="F8" s="173" t="s">
        <v>1756</v>
      </c>
      <c r="G8" s="172" t="s">
        <v>1757</v>
      </c>
      <c r="H8" s="172" t="s">
        <v>21</v>
      </c>
      <c r="I8" s="74"/>
      <c r="J8" s="111" t="s">
        <v>23</v>
      </c>
      <c r="K8" s="74"/>
      <c r="L8" s="600" t="s">
        <v>1758</v>
      </c>
      <c r="M8" s="600"/>
      <c r="N8" s="600"/>
      <c r="O8" s="600"/>
      <c r="P8" s="600"/>
      <c r="Q8" s="600"/>
      <c r="R8" s="600"/>
      <c r="S8" s="600"/>
      <c r="T8" s="600"/>
      <c r="U8" s="600"/>
      <c r="V8" s="600"/>
      <c r="W8" s="600"/>
      <c r="X8" s="600"/>
      <c r="Y8" s="600"/>
    </row>
    <row r="9" spans="1:25" ht="98">
      <c r="A9" s="192" t="s">
        <v>1759</v>
      </c>
      <c r="B9" s="173"/>
      <c r="C9" s="174" t="s">
        <v>16</v>
      </c>
      <c r="D9" s="172" t="s">
        <v>1760</v>
      </c>
      <c r="E9" s="173"/>
      <c r="F9" s="172" t="s">
        <v>1761</v>
      </c>
      <c r="G9" s="172" t="s">
        <v>1762</v>
      </c>
      <c r="H9" s="172" t="s">
        <v>21</v>
      </c>
      <c r="I9" s="74"/>
      <c r="J9" s="111" t="s">
        <v>23</v>
      </c>
      <c r="K9" s="74"/>
      <c r="L9" s="600" t="s">
        <v>1758</v>
      </c>
      <c r="M9" s="600"/>
      <c r="N9" s="600"/>
      <c r="O9" s="600"/>
      <c r="P9" s="600"/>
      <c r="Q9" s="600"/>
      <c r="R9" s="600"/>
      <c r="S9" s="600"/>
      <c r="T9" s="600"/>
      <c r="U9" s="600"/>
      <c r="V9" s="600"/>
      <c r="W9" s="600"/>
      <c r="X9" s="600"/>
      <c r="Y9" s="600"/>
    </row>
    <row r="10" spans="1:25" ht="168">
      <c r="A10" s="192" t="s">
        <v>1763</v>
      </c>
      <c r="B10" s="173"/>
      <c r="C10" s="174" t="s">
        <v>16</v>
      </c>
      <c r="D10" s="172" t="s">
        <v>1764</v>
      </c>
      <c r="E10" s="173"/>
      <c r="F10" s="172" t="s">
        <v>1765</v>
      </c>
      <c r="G10" s="172" t="s">
        <v>1766</v>
      </c>
      <c r="H10" s="172" t="s">
        <v>21</v>
      </c>
      <c r="I10" s="74"/>
      <c r="J10" s="111" t="s">
        <v>23</v>
      </c>
      <c r="K10" s="74"/>
      <c r="L10" s="600"/>
      <c r="M10" s="600"/>
      <c r="N10" s="600"/>
      <c r="O10" s="600"/>
      <c r="P10" s="600"/>
      <c r="Q10" s="600"/>
      <c r="R10" s="600"/>
      <c r="S10" s="600"/>
      <c r="T10" s="600"/>
      <c r="U10" s="600"/>
      <c r="V10" s="600"/>
      <c r="W10" s="600"/>
      <c r="X10" s="600"/>
      <c r="Y10" s="600"/>
    </row>
    <row r="11" spans="1:25" ht="42">
      <c r="A11" s="100" t="s">
        <v>1767</v>
      </c>
      <c r="B11" s="59"/>
      <c r="C11" s="37" t="s">
        <v>16</v>
      </c>
      <c r="D11" s="59" t="s">
        <v>1768</v>
      </c>
      <c r="E11" s="59"/>
      <c r="F11" s="59" t="s">
        <v>1769</v>
      </c>
      <c r="G11" s="100" t="s">
        <v>1742</v>
      </c>
      <c r="H11" s="100" t="s">
        <v>21</v>
      </c>
      <c r="I11" s="74"/>
      <c r="J11" s="84" t="s">
        <v>23</v>
      </c>
      <c r="K11" s="74"/>
      <c r="L11" s="600"/>
      <c r="M11" s="600"/>
      <c r="N11" s="600"/>
      <c r="O11" s="600"/>
      <c r="P11" s="600"/>
      <c r="Q11" s="600"/>
      <c r="R11" s="600"/>
      <c r="S11" s="600"/>
      <c r="T11" s="600"/>
      <c r="U11" s="600"/>
      <c r="V11" s="600"/>
      <c r="W11" s="600"/>
      <c r="X11" s="600"/>
      <c r="Y11" s="600"/>
    </row>
    <row r="12" spans="1:25">
      <c r="A12" s="100" t="s">
        <v>1770</v>
      </c>
      <c r="B12" s="59"/>
      <c r="C12" s="37" t="s">
        <v>16</v>
      </c>
      <c r="D12" s="59" t="s">
        <v>1771</v>
      </c>
      <c r="E12" s="59"/>
      <c r="F12" s="59" t="s">
        <v>1772</v>
      </c>
      <c r="G12" s="59" t="s">
        <v>1773</v>
      </c>
      <c r="H12" s="100"/>
      <c r="I12" s="74"/>
      <c r="J12" s="84" t="s">
        <v>23</v>
      </c>
      <c r="K12" s="74"/>
      <c r="L12" s="600"/>
      <c r="M12" s="600"/>
      <c r="N12" s="600"/>
      <c r="O12" s="600"/>
      <c r="P12" s="600"/>
      <c r="Q12" s="600"/>
      <c r="R12" s="600"/>
      <c r="S12" s="600"/>
      <c r="T12" s="600"/>
      <c r="U12" s="600"/>
      <c r="V12" s="600"/>
      <c r="W12" s="600"/>
      <c r="X12" s="600"/>
      <c r="Y12" s="600"/>
    </row>
    <row r="13" spans="1:25">
      <c r="A13" s="100" t="s">
        <v>1774</v>
      </c>
      <c r="B13" s="60"/>
      <c r="C13" s="37" t="s">
        <v>16</v>
      </c>
      <c r="D13" s="60" t="s">
        <v>1775</v>
      </c>
      <c r="E13" s="60"/>
      <c r="F13" s="60" t="s">
        <v>1776</v>
      </c>
      <c r="G13" s="60" t="s">
        <v>1773</v>
      </c>
      <c r="H13" s="636"/>
      <c r="I13" s="610"/>
      <c r="J13" s="84" t="s">
        <v>23</v>
      </c>
      <c r="K13" s="610"/>
      <c r="L13" s="600"/>
      <c r="M13" s="600"/>
      <c r="N13" s="600"/>
      <c r="O13" s="600"/>
      <c r="P13" s="600"/>
      <c r="Q13" s="600"/>
      <c r="R13" s="600"/>
      <c r="S13" s="600"/>
      <c r="T13" s="600"/>
      <c r="U13" s="600"/>
      <c r="V13" s="600"/>
      <c r="W13" s="600"/>
      <c r="X13" s="600"/>
      <c r="Y13" s="600"/>
    </row>
    <row r="14" spans="1:25" ht="28">
      <c r="A14" s="100" t="s">
        <v>1777</v>
      </c>
      <c r="B14" s="637"/>
      <c r="C14" s="37" t="s">
        <v>16</v>
      </c>
      <c r="D14" s="59" t="s">
        <v>1778</v>
      </c>
      <c r="E14" s="40"/>
      <c r="F14" s="59" t="s">
        <v>1779</v>
      </c>
      <c r="G14" s="59" t="s">
        <v>1780</v>
      </c>
      <c r="H14" s="40"/>
      <c r="I14" s="637"/>
      <c r="J14" s="84" t="s">
        <v>23</v>
      </c>
      <c r="K14" s="635"/>
      <c r="L14" s="600"/>
      <c r="M14" s="600"/>
      <c r="N14" s="600"/>
      <c r="O14" s="600"/>
      <c r="P14" s="600"/>
      <c r="Q14" s="600"/>
      <c r="R14" s="600"/>
      <c r="S14" s="600"/>
      <c r="T14" s="600"/>
      <c r="U14" s="600"/>
      <c r="V14" s="600"/>
      <c r="W14" s="600"/>
      <c r="X14" s="600"/>
      <c r="Y14" s="600"/>
    </row>
    <row r="15" spans="1:25" ht="28">
      <c r="A15" s="100" t="s">
        <v>1781</v>
      </c>
      <c r="B15" s="116"/>
      <c r="C15" s="37" t="s">
        <v>16</v>
      </c>
      <c r="D15" s="59" t="s">
        <v>1782</v>
      </c>
      <c r="E15" s="87"/>
      <c r="F15" s="59" t="s">
        <v>1783</v>
      </c>
      <c r="G15" s="59" t="s">
        <v>1784</v>
      </c>
      <c r="H15" s="87"/>
      <c r="I15" s="116"/>
      <c r="J15" s="84" t="s">
        <v>23</v>
      </c>
      <c r="K15" s="74"/>
      <c r="L15" s="600"/>
      <c r="M15" s="600"/>
      <c r="N15" s="600"/>
      <c r="O15" s="600"/>
      <c r="P15" s="600"/>
      <c r="Q15" s="600"/>
      <c r="R15" s="600"/>
      <c r="S15" s="600"/>
      <c r="T15" s="600"/>
      <c r="U15" s="600"/>
      <c r="V15" s="600"/>
      <c r="W15" s="600"/>
      <c r="X15" s="600"/>
      <c r="Y15" s="600"/>
    </row>
    <row r="16" spans="1:25" ht="56">
      <c r="A16" s="100" t="s">
        <v>1785</v>
      </c>
      <c r="B16" s="116"/>
      <c r="C16" s="37" t="s">
        <v>16</v>
      </c>
      <c r="D16" s="59" t="s">
        <v>1786</v>
      </c>
      <c r="E16" s="37"/>
      <c r="F16" s="100" t="s">
        <v>454</v>
      </c>
      <c r="G16" s="100" t="s">
        <v>455</v>
      </c>
      <c r="H16" s="37"/>
      <c r="I16" s="116"/>
      <c r="J16" s="84" t="s">
        <v>23</v>
      </c>
      <c r="K16" s="59"/>
      <c r="L16" s="600"/>
      <c r="M16" s="600"/>
      <c r="N16" s="600"/>
      <c r="O16" s="600"/>
      <c r="P16" s="600"/>
      <c r="Q16" s="600"/>
      <c r="R16" s="600"/>
      <c r="S16" s="600"/>
      <c r="T16" s="600"/>
      <c r="U16" s="600"/>
      <c r="V16" s="600"/>
      <c r="W16" s="600"/>
      <c r="X16" s="600"/>
      <c r="Y16" s="600"/>
    </row>
    <row r="17" spans="1:25" ht="56">
      <c r="A17" s="636" t="s">
        <v>1787</v>
      </c>
      <c r="B17" s="638"/>
      <c r="C17" s="141" t="s">
        <v>16</v>
      </c>
      <c r="D17" s="60" t="s">
        <v>1788</v>
      </c>
      <c r="E17" s="611"/>
      <c r="F17" s="636" t="s">
        <v>454</v>
      </c>
      <c r="G17" s="636" t="s">
        <v>455</v>
      </c>
      <c r="H17" s="611"/>
      <c r="I17" s="638"/>
      <c r="J17" s="84" t="s">
        <v>23</v>
      </c>
      <c r="K17" s="60"/>
      <c r="L17" s="600"/>
      <c r="M17" s="600"/>
      <c r="N17" s="600"/>
      <c r="O17" s="600"/>
      <c r="P17" s="600"/>
      <c r="Q17" s="600"/>
      <c r="R17" s="600"/>
      <c r="S17" s="600"/>
      <c r="T17" s="600"/>
      <c r="U17" s="600"/>
      <c r="V17" s="600"/>
      <c r="W17" s="600"/>
      <c r="X17" s="600"/>
      <c r="Y17" s="600"/>
    </row>
    <row r="18" spans="1:25" ht="126">
      <c r="A18" s="263" t="s">
        <v>1789</v>
      </c>
      <c r="B18" s="116"/>
      <c r="C18" s="116"/>
      <c r="D18" s="59" t="s">
        <v>1790</v>
      </c>
      <c r="E18" s="87"/>
      <c r="F18" s="59" t="s">
        <v>1791</v>
      </c>
      <c r="G18" s="59" t="s">
        <v>1792</v>
      </c>
      <c r="H18" s="87"/>
      <c r="I18" s="116"/>
      <c r="J18" s="84" t="s">
        <v>23</v>
      </c>
      <c r="K18" s="59"/>
      <c r="L18" s="600"/>
      <c r="M18" s="600"/>
      <c r="N18" s="600"/>
      <c r="O18" s="600"/>
      <c r="P18" s="600"/>
      <c r="Q18" s="600"/>
      <c r="R18" s="600"/>
      <c r="S18" s="600"/>
      <c r="T18" s="600"/>
      <c r="U18" s="600"/>
      <c r="V18" s="600"/>
      <c r="W18" s="600"/>
      <c r="X18" s="600"/>
      <c r="Y18" s="600"/>
    </row>
    <row r="19" spans="1:25">
      <c r="A19" s="565"/>
      <c r="B19" s="568"/>
      <c r="C19" s="568"/>
      <c r="D19" s="162"/>
      <c r="F19" s="639"/>
      <c r="G19" s="639"/>
      <c r="I19" s="568"/>
      <c r="J19" s="567"/>
      <c r="K19" s="162"/>
      <c r="L19" s="600"/>
      <c r="M19" s="600"/>
      <c r="N19" s="600"/>
      <c r="O19" s="600"/>
      <c r="P19" s="600"/>
      <c r="Q19" s="600"/>
      <c r="R19" s="600"/>
      <c r="S19" s="600"/>
      <c r="T19" s="600"/>
      <c r="U19" s="600"/>
      <c r="V19" s="600"/>
      <c r="W19" s="600"/>
      <c r="X19" s="600"/>
      <c r="Y19" s="600"/>
    </row>
  </sheetData>
  <phoneticPr fontId="106" type="noConversion"/>
  <dataValidations count="3">
    <dataValidation type="list" allowBlank="1" showInputMessage="1" showErrorMessage="1" sqref="J1:J1048576" xr:uid="{00000000-0002-0000-0F00-000000000000}">
      <formula1>"NT,PASS,FAIL,BLOCK,"</formula1>
    </dataValidation>
    <dataValidation type="list" allowBlank="1" showInputMessage="1" showErrorMessage="1" sqref="C2:C17" xr:uid="{00000000-0002-0000-0F00-000001000000}">
      <formula1>"Basicfunction,Cross-module,Pressure,Performance"</formula1>
    </dataValidation>
    <dataValidation type="list" allowBlank="1" showInputMessage="1" showErrorMessage="1" sqref="H2:H13" xr:uid="{00000000-0002-0000-0F00-000002000000}">
      <formula1>"P0,P1,P2"</formula1>
    </dataValidation>
  </dataValidation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codeName="管理工具"/>
  <dimension ref="A1:AF175"/>
  <sheetViews>
    <sheetView workbookViewId="0">
      <pane ySplit="2" topLeftCell="A3" activePane="bottomLeft" state="frozen"/>
      <selection pane="bottomLeft"/>
    </sheetView>
  </sheetViews>
  <sheetFormatPr defaultRowHeight="14"/>
  <cols>
    <col min="1" max="1" width="37.08984375" style="35" customWidth="1"/>
    <col min="3" max="3" width="13.36328125" style="35" customWidth="1"/>
    <col min="4" max="5" width="27" style="35" customWidth="1"/>
    <col min="6" max="6" width="50.26953125" style="35" customWidth="1"/>
    <col min="7" max="7" width="27.36328125" style="35" customWidth="1"/>
    <col min="8" max="8" width="12.90625" style="35" customWidth="1"/>
    <col min="10" max="17" width="13.453125" style="35" customWidth="1"/>
    <col min="18" max="18" width="33.453125" style="35" customWidth="1"/>
    <col min="19" max="19" width="17.26953125" style="945" customWidth="1"/>
    <col min="21" max="21" width="44.08984375" style="35" customWidth="1"/>
  </cols>
  <sheetData>
    <row r="1" spans="1:32" ht="33" customHeight="1">
      <c r="A1" s="1020" t="s">
        <v>0</v>
      </c>
      <c r="B1" s="1020" t="s">
        <v>1</v>
      </c>
      <c r="C1" s="1020" t="s">
        <v>2</v>
      </c>
      <c r="D1" s="1020" t="s">
        <v>3</v>
      </c>
      <c r="E1" s="1044" t="s">
        <v>4</v>
      </c>
      <c r="F1" s="1020" t="s">
        <v>5</v>
      </c>
      <c r="G1" s="1020" t="s">
        <v>6</v>
      </c>
      <c r="H1" s="1020" t="s">
        <v>7</v>
      </c>
      <c r="I1" s="1020" t="s">
        <v>8</v>
      </c>
      <c r="J1" s="1015" t="s">
        <v>9</v>
      </c>
      <c r="K1" s="990"/>
      <c r="L1" s="1038"/>
      <c r="M1" s="990"/>
      <c r="N1" s="990"/>
      <c r="O1" s="990"/>
      <c r="P1" s="990"/>
      <c r="Q1" s="991"/>
      <c r="R1" s="1020" t="s">
        <v>10</v>
      </c>
      <c r="S1" s="1020" t="s">
        <v>11</v>
      </c>
      <c r="T1" s="162"/>
      <c r="U1" s="162"/>
      <c r="V1" s="162"/>
      <c r="W1" s="162"/>
      <c r="X1" s="162"/>
      <c r="Y1" s="162"/>
      <c r="Z1" s="162"/>
      <c r="AA1" s="162"/>
      <c r="AB1" s="162"/>
      <c r="AC1" s="162"/>
      <c r="AD1" s="162"/>
      <c r="AE1" s="162"/>
      <c r="AF1" s="162"/>
    </row>
    <row r="2" spans="1:32" ht="55.5" customHeight="1">
      <c r="A2" s="984"/>
      <c r="B2" s="984"/>
      <c r="C2" s="984"/>
      <c r="D2" s="984"/>
      <c r="E2" s="984"/>
      <c r="F2" s="984"/>
      <c r="G2" s="984"/>
      <c r="H2" s="984"/>
      <c r="I2" s="984"/>
      <c r="J2" s="749" t="s">
        <v>426</v>
      </c>
      <c r="K2" s="3" t="s">
        <v>428</v>
      </c>
      <c r="L2" s="3" t="s">
        <v>2377</v>
      </c>
      <c r="M2" s="3" t="s">
        <v>1358</v>
      </c>
      <c r="N2" s="3" t="s">
        <v>429</v>
      </c>
      <c r="O2" s="3" t="s">
        <v>2378</v>
      </c>
      <c r="P2" s="3" t="s">
        <v>431</v>
      </c>
      <c r="Q2" s="3" t="s">
        <v>300</v>
      </c>
      <c r="R2" s="984"/>
      <c r="S2" s="984"/>
      <c r="T2" s="162"/>
      <c r="U2" s="162"/>
      <c r="V2" s="162"/>
      <c r="W2" s="162"/>
      <c r="X2" s="162"/>
      <c r="Y2" s="162"/>
      <c r="Z2" s="162"/>
      <c r="AA2" s="162"/>
      <c r="AB2" s="162"/>
      <c r="AC2" s="162"/>
      <c r="AD2" s="162"/>
      <c r="AE2" s="162"/>
      <c r="AF2" s="162"/>
    </row>
    <row r="3" spans="1:32" ht="56">
      <c r="A3" s="215" t="s">
        <v>2379</v>
      </c>
      <c r="B3" s="215"/>
      <c r="C3" s="215" t="s">
        <v>16</v>
      </c>
      <c r="D3" s="292" t="s">
        <v>2380</v>
      </c>
      <c r="E3" s="215"/>
      <c r="F3" s="292" t="s">
        <v>2381</v>
      </c>
      <c r="G3" s="292" t="s">
        <v>2382</v>
      </c>
      <c r="H3" s="215" t="s">
        <v>21</v>
      </c>
      <c r="I3" s="215" t="s">
        <v>22</v>
      </c>
      <c r="J3" s="750" t="s">
        <v>23</v>
      </c>
      <c r="K3" s="720"/>
      <c r="L3" s="720"/>
      <c r="M3" s="720"/>
      <c r="N3" s="720"/>
      <c r="O3" s="603"/>
      <c r="P3" s="603"/>
      <c r="Q3" s="603"/>
      <c r="R3" s="751" t="s">
        <v>2383</v>
      </c>
      <c r="S3" s="752"/>
    </row>
    <row r="4" spans="1:32" ht="42">
      <c r="A4" s="170" t="s">
        <v>2384</v>
      </c>
      <c r="B4" s="170"/>
      <c r="C4" s="170" t="s">
        <v>16</v>
      </c>
      <c r="D4" s="172" t="s">
        <v>2385</v>
      </c>
      <c r="E4" s="170"/>
      <c r="F4" s="172" t="s">
        <v>2386</v>
      </c>
      <c r="G4" s="172" t="s">
        <v>2387</v>
      </c>
      <c r="H4" s="170" t="s">
        <v>21</v>
      </c>
      <c r="I4" s="170" t="s">
        <v>22</v>
      </c>
      <c r="J4" s="111" t="s">
        <v>23</v>
      </c>
      <c r="K4" s="76"/>
      <c r="L4" s="76"/>
      <c r="M4" s="76"/>
      <c r="N4" s="76"/>
      <c r="O4" s="175"/>
      <c r="P4" s="175"/>
      <c r="Q4" s="175"/>
      <c r="R4" s="183"/>
      <c r="S4" s="752"/>
    </row>
    <row r="5" spans="1:32" ht="42">
      <c r="A5" s="170" t="s">
        <v>2388</v>
      </c>
      <c r="B5" s="170"/>
      <c r="C5" s="170" t="s">
        <v>16</v>
      </c>
      <c r="D5" s="172" t="s">
        <v>2389</v>
      </c>
      <c r="E5" s="170"/>
      <c r="F5" s="172" t="s">
        <v>2390</v>
      </c>
      <c r="G5" s="172" t="s">
        <v>2387</v>
      </c>
      <c r="H5" s="170" t="s">
        <v>21</v>
      </c>
      <c r="I5" s="170" t="s">
        <v>22</v>
      </c>
      <c r="J5" s="111" t="s">
        <v>23</v>
      </c>
      <c r="K5" s="76"/>
      <c r="L5" s="76"/>
      <c r="M5" s="76"/>
      <c r="N5" s="76"/>
      <c r="O5" s="175"/>
      <c r="P5" s="175"/>
      <c r="Q5" s="175"/>
      <c r="R5" s="183"/>
      <c r="S5" s="752"/>
    </row>
    <row r="6" spans="1:32" ht="56">
      <c r="A6" s="170" t="s">
        <v>2391</v>
      </c>
      <c r="B6" s="170"/>
      <c r="C6" s="170" t="s">
        <v>16</v>
      </c>
      <c r="D6" s="172" t="s">
        <v>2392</v>
      </c>
      <c r="E6" s="170"/>
      <c r="F6" s="172" t="s">
        <v>2393</v>
      </c>
      <c r="G6" s="173"/>
      <c r="H6" s="170" t="s">
        <v>21</v>
      </c>
      <c r="I6" s="170" t="s">
        <v>531</v>
      </c>
      <c r="J6" s="111" t="s">
        <v>23</v>
      </c>
      <c r="K6" s="76"/>
      <c r="L6" s="76"/>
      <c r="M6" s="76"/>
      <c r="N6" s="76"/>
      <c r="O6" s="175"/>
      <c r="P6" s="175"/>
      <c r="Q6" s="175"/>
      <c r="R6" s="183" t="s">
        <v>2394</v>
      </c>
      <c r="S6" s="752"/>
    </row>
    <row r="7" spans="1:32" ht="42">
      <c r="A7" s="753" t="s">
        <v>2395</v>
      </c>
      <c r="B7" s="753"/>
      <c r="C7" s="753" t="s">
        <v>16</v>
      </c>
      <c r="D7" s="497" t="s">
        <v>2396</v>
      </c>
      <c r="E7" s="753"/>
      <c r="F7" s="497" t="s">
        <v>2397</v>
      </c>
      <c r="G7" s="500"/>
      <c r="H7" s="753" t="s">
        <v>21</v>
      </c>
      <c r="I7" s="753" t="s">
        <v>22</v>
      </c>
      <c r="J7" s="189" t="s">
        <v>416</v>
      </c>
      <c r="K7" s="76"/>
      <c r="L7" s="76"/>
      <c r="M7" s="76"/>
      <c r="N7" s="76"/>
      <c r="O7" s="175"/>
      <c r="P7" s="175"/>
      <c r="Q7" s="175"/>
      <c r="R7" s="754"/>
      <c r="S7" s="752"/>
    </row>
    <row r="8" spans="1:32" ht="42">
      <c r="A8" s="753" t="s">
        <v>2398</v>
      </c>
      <c r="B8" s="753"/>
      <c r="C8" s="753" t="s">
        <v>16</v>
      </c>
      <c r="D8" s="497" t="s">
        <v>2399</v>
      </c>
      <c r="E8" s="753"/>
      <c r="F8" s="497" t="s">
        <v>2400</v>
      </c>
      <c r="G8" s="500"/>
      <c r="H8" s="753" t="s">
        <v>21</v>
      </c>
      <c r="I8" s="753" t="s">
        <v>22</v>
      </c>
      <c r="J8" s="189" t="s">
        <v>416</v>
      </c>
      <c r="K8" s="76"/>
      <c r="L8" s="76"/>
      <c r="M8" s="76"/>
      <c r="N8" s="76"/>
      <c r="O8" s="175"/>
      <c r="P8" s="175"/>
      <c r="Q8" s="175"/>
      <c r="R8" s="754" t="s">
        <v>2401</v>
      </c>
      <c r="S8" s="752"/>
    </row>
    <row r="9" spans="1:32" ht="82.5">
      <c r="A9" s="753" t="s">
        <v>2402</v>
      </c>
      <c r="B9" s="753"/>
      <c r="C9" s="753" t="s">
        <v>16</v>
      </c>
      <c r="D9" s="497" t="s">
        <v>2403</v>
      </c>
      <c r="E9" s="753"/>
      <c r="F9" s="497" t="s">
        <v>2404</v>
      </c>
      <c r="G9" s="500"/>
      <c r="H9" s="753" t="s">
        <v>21</v>
      </c>
      <c r="I9" s="753" t="s">
        <v>22</v>
      </c>
      <c r="J9" s="189" t="s">
        <v>416</v>
      </c>
      <c r="K9" s="76"/>
      <c r="L9" s="76"/>
      <c r="M9" s="76"/>
      <c r="N9" s="76"/>
      <c r="O9" s="175"/>
      <c r="P9" s="175"/>
      <c r="Q9" s="175"/>
      <c r="R9" s="754" t="s">
        <v>3258</v>
      </c>
      <c r="S9" s="752"/>
    </row>
    <row r="10" spans="1:32" ht="70">
      <c r="A10" s="753" t="s">
        <v>2405</v>
      </c>
      <c r="B10" s="753"/>
      <c r="C10" s="753" t="s">
        <v>16</v>
      </c>
      <c r="D10" s="497" t="s">
        <v>2406</v>
      </c>
      <c r="E10" s="753"/>
      <c r="F10" s="497" t="s">
        <v>2407</v>
      </c>
      <c r="G10" s="500"/>
      <c r="H10" s="753" t="s">
        <v>21</v>
      </c>
      <c r="I10" s="753" t="s">
        <v>22</v>
      </c>
      <c r="J10" s="189" t="s">
        <v>416</v>
      </c>
      <c r="K10" s="76"/>
      <c r="L10" s="76"/>
      <c r="M10" s="76"/>
      <c r="N10" s="76"/>
      <c r="O10" s="175"/>
      <c r="P10" s="175"/>
      <c r="Q10" s="175"/>
      <c r="R10" s="754"/>
      <c r="S10" s="752"/>
    </row>
    <row r="11" spans="1:32" ht="42">
      <c r="A11" s="753" t="s">
        <v>2408</v>
      </c>
      <c r="B11" s="282"/>
      <c r="C11" s="282" t="s">
        <v>16</v>
      </c>
      <c r="D11" s="497" t="s">
        <v>2409</v>
      </c>
      <c r="E11" s="282"/>
      <c r="F11" s="500" t="s">
        <v>2410</v>
      </c>
      <c r="G11" s="500"/>
      <c r="H11" s="753" t="s">
        <v>415</v>
      </c>
      <c r="I11" s="753" t="s">
        <v>22</v>
      </c>
      <c r="J11" s="189" t="s">
        <v>416</v>
      </c>
      <c r="K11" s="76"/>
      <c r="L11" s="76"/>
      <c r="M11" s="76"/>
      <c r="N11" s="76"/>
      <c r="O11" s="175"/>
      <c r="P11" s="175"/>
      <c r="Q11" s="175"/>
      <c r="R11" s="755" t="s">
        <v>2411</v>
      </c>
      <c r="S11" s="752"/>
    </row>
    <row r="12" spans="1:32" ht="42">
      <c r="A12" s="282" t="s">
        <v>2412</v>
      </c>
      <c r="B12" s="282"/>
      <c r="C12" s="282" t="s">
        <v>16</v>
      </c>
      <c r="D12" s="497" t="s">
        <v>2413</v>
      </c>
      <c r="E12" s="282"/>
      <c r="F12" s="500" t="s">
        <v>2414</v>
      </c>
      <c r="G12" s="500"/>
      <c r="H12" s="753" t="s">
        <v>415</v>
      </c>
      <c r="I12" s="753" t="s">
        <v>22</v>
      </c>
      <c r="J12" s="189" t="s">
        <v>416</v>
      </c>
      <c r="K12" s="76"/>
      <c r="L12" s="76"/>
      <c r="M12" s="76"/>
      <c r="N12" s="76"/>
      <c r="O12" s="175"/>
      <c r="P12" s="175"/>
      <c r="Q12" s="175"/>
      <c r="R12" s="754"/>
      <c r="S12" s="752"/>
    </row>
    <row r="13" spans="1:32" ht="56">
      <c r="A13" s="282" t="s">
        <v>2415</v>
      </c>
      <c r="B13" s="282"/>
      <c r="C13" s="282" t="s">
        <v>16</v>
      </c>
      <c r="D13" s="497" t="s">
        <v>2416</v>
      </c>
      <c r="E13" s="282"/>
      <c r="F13" s="500" t="s">
        <v>2414</v>
      </c>
      <c r="G13" s="314" t="s">
        <v>2417</v>
      </c>
      <c r="H13" s="753" t="s">
        <v>415</v>
      </c>
      <c r="I13" s="753" t="s">
        <v>531</v>
      </c>
      <c r="J13" s="189" t="s">
        <v>416</v>
      </c>
      <c r="K13" s="76"/>
      <c r="L13" s="76"/>
      <c r="M13" s="76"/>
      <c r="N13" s="76"/>
      <c r="O13" s="175"/>
      <c r="P13" s="175"/>
      <c r="Q13" s="175"/>
      <c r="R13" s="754" t="s">
        <v>2418</v>
      </c>
      <c r="S13" s="752"/>
    </row>
    <row r="14" spans="1:32" ht="42">
      <c r="A14" s="174" t="s">
        <v>2419</v>
      </c>
      <c r="B14" s="174"/>
      <c r="C14" s="174" t="s">
        <v>16</v>
      </c>
      <c r="D14" s="756" t="s">
        <v>2420</v>
      </c>
      <c r="E14" s="174"/>
      <c r="F14" s="172" t="s">
        <v>2421</v>
      </c>
      <c r="G14" s="173"/>
      <c r="H14" s="170" t="s">
        <v>21</v>
      </c>
      <c r="I14" s="170" t="s">
        <v>22</v>
      </c>
      <c r="J14" s="111" t="s">
        <v>23</v>
      </c>
      <c r="K14" s="438"/>
      <c r="L14" s="194"/>
      <c r="M14" s="757"/>
      <c r="N14" s="194"/>
      <c r="O14" s="194"/>
      <c r="P14" s="194"/>
      <c r="Q14" s="194"/>
      <c r="R14" s="183"/>
      <c r="S14" s="752"/>
    </row>
    <row r="15" spans="1:32" ht="84">
      <c r="A15" s="249" t="s">
        <v>2422</v>
      </c>
      <c r="B15" s="249"/>
      <c r="C15" s="249" t="s">
        <v>16</v>
      </c>
      <c r="D15" s="292" t="s">
        <v>2423</v>
      </c>
      <c r="E15" s="182"/>
      <c r="F15" s="292" t="s">
        <v>2424</v>
      </c>
      <c r="G15" s="292" t="s">
        <v>2425</v>
      </c>
      <c r="H15" s="215" t="s">
        <v>21</v>
      </c>
      <c r="I15" s="215" t="s">
        <v>22</v>
      </c>
      <c r="J15" s="750"/>
      <c r="K15" s="76"/>
      <c r="L15" s="175"/>
      <c r="M15" s="198" t="s">
        <v>64</v>
      </c>
      <c r="N15" s="175" t="s">
        <v>23</v>
      </c>
      <c r="O15" s="175"/>
      <c r="P15" s="175"/>
      <c r="Q15" s="175"/>
      <c r="R15" s="212"/>
      <c r="S15" s="758" t="s">
        <v>3259</v>
      </c>
    </row>
    <row r="16" spans="1:32" ht="70">
      <c r="A16" s="282" t="s">
        <v>2426</v>
      </c>
      <c r="B16" s="282"/>
      <c r="C16" s="282" t="s">
        <v>16</v>
      </c>
      <c r="D16" s="759" t="s">
        <v>2427</v>
      </c>
      <c r="E16" s="760"/>
      <c r="F16" s="759" t="s">
        <v>2428</v>
      </c>
      <c r="G16" s="761"/>
      <c r="H16" s="762" t="s">
        <v>21</v>
      </c>
      <c r="I16" s="762" t="s">
        <v>22</v>
      </c>
      <c r="J16" s="189" t="s">
        <v>416</v>
      </c>
      <c r="K16" s="603"/>
      <c r="L16" s="603"/>
      <c r="M16" s="603"/>
      <c r="N16" s="603"/>
      <c r="O16" s="603"/>
      <c r="P16" s="603"/>
      <c r="Q16" s="603"/>
      <c r="R16" s="763"/>
      <c r="S16" s="752"/>
    </row>
    <row r="17" spans="1:32" ht="56">
      <c r="A17" s="174" t="s">
        <v>2429</v>
      </c>
      <c r="B17" s="174"/>
      <c r="C17" s="174" t="s">
        <v>16</v>
      </c>
      <c r="D17" s="292" t="s">
        <v>2430</v>
      </c>
      <c r="E17" s="182"/>
      <c r="F17" s="292" t="s">
        <v>2431</v>
      </c>
      <c r="G17" s="361"/>
      <c r="H17" s="215" t="s">
        <v>21</v>
      </c>
      <c r="I17" s="215" t="s">
        <v>22</v>
      </c>
      <c r="J17" s="111"/>
      <c r="K17" s="603" t="s">
        <v>23</v>
      </c>
      <c r="L17" s="603"/>
      <c r="M17" s="603"/>
      <c r="N17" s="603"/>
      <c r="O17" s="603"/>
      <c r="P17" s="603"/>
      <c r="Q17" s="603"/>
      <c r="R17" s="275"/>
      <c r="S17" s="752"/>
    </row>
    <row r="18" spans="1:32" ht="42">
      <c r="A18" s="174" t="s">
        <v>2432</v>
      </c>
      <c r="B18" s="174"/>
      <c r="C18" s="174" t="s">
        <v>16</v>
      </c>
      <c r="D18" s="172" t="s">
        <v>2433</v>
      </c>
      <c r="E18" s="182"/>
      <c r="F18" s="292" t="s">
        <v>2434</v>
      </c>
      <c r="G18" s="361"/>
      <c r="H18" s="215" t="s">
        <v>21</v>
      </c>
      <c r="I18" s="215" t="s">
        <v>531</v>
      </c>
      <c r="J18" s="111"/>
      <c r="K18" s="603" t="s">
        <v>23</v>
      </c>
      <c r="L18" s="603"/>
      <c r="M18" s="603"/>
      <c r="N18" s="603"/>
      <c r="O18" s="603"/>
      <c r="P18" s="603"/>
      <c r="Q18" s="603"/>
      <c r="R18" s="751" t="s">
        <v>2435</v>
      </c>
      <c r="S18" s="752"/>
    </row>
    <row r="19" spans="1:32" ht="28">
      <c r="A19" s="174" t="s">
        <v>2436</v>
      </c>
      <c r="B19" s="174"/>
      <c r="C19" s="174" t="s">
        <v>16</v>
      </c>
      <c r="D19" s="172" t="s">
        <v>2437</v>
      </c>
      <c r="E19" s="182"/>
      <c r="F19" s="292" t="s">
        <v>2438</v>
      </c>
      <c r="G19" s="361"/>
      <c r="H19" s="215" t="s">
        <v>21</v>
      </c>
      <c r="I19" s="215" t="s">
        <v>531</v>
      </c>
      <c r="J19" s="111"/>
      <c r="K19" s="603"/>
      <c r="L19" s="603"/>
      <c r="M19" s="76" t="s">
        <v>64</v>
      </c>
      <c r="N19" s="76" t="s">
        <v>64</v>
      </c>
      <c r="O19" s="175" t="s">
        <v>23</v>
      </c>
      <c r="P19" s="175"/>
      <c r="Q19" s="175"/>
      <c r="R19" s="212"/>
      <c r="S19" s="758" t="s">
        <v>3260</v>
      </c>
    </row>
    <row r="20" spans="1:32" ht="49.5">
      <c r="A20" s="174" t="s">
        <v>2439</v>
      </c>
      <c r="B20" s="174"/>
      <c r="C20" s="174" t="s">
        <v>16</v>
      </c>
      <c r="D20" s="292" t="s">
        <v>2440</v>
      </c>
      <c r="E20" s="182"/>
      <c r="F20" s="292" t="s">
        <v>3261</v>
      </c>
      <c r="G20" s="361"/>
      <c r="H20" s="215" t="s">
        <v>415</v>
      </c>
      <c r="I20" s="215" t="s">
        <v>22</v>
      </c>
      <c r="J20" s="111"/>
      <c r="K20" s="603" t="s">
        <v>23</v>
      </c>
      <c r="L20" s="603"/>
      <c r="M20" s="603"/>
      <c r="N20" s="603"/>
      <c r="O20" s="603"/>
      <c r="P20" s="603"/>
      <c r="Q20" s="603"/>
      <c r="R20" s="751"/>
      <c r="S20" s="752"/>
    </row>
    <row r="21" spans="1:32">
      <c r="A21" s="217" t="s">
        <v>2441</v>
      </c>
      <c r="B21" s="217"/>
      <c r="C21" s="217" t="s">
        <v>16</v>
      </c>
      <c r="D21" s="298" t="s">
        <v>2442</v>
      </c>
      <c r="E21" s="389"/>
      <c r="F21" s="386"/>
      <c r="G21" s="386"/>
      <c r="H21" s="216" t="s">
        <v>415</v>
      </c>
      <c r="I21" s="216" t="s">
        <v>531</v>
      </c>
      <c r="J21" s="189"/>
      <c r="K21" s="603"/>
      <c r="L21" s="603"/>
      <c r="M21" s="603"/>
      <c r="N21" s="603"/>
      <c r="O21" s="603"/>
      <c r="P21" s="603"/>
      <c r="Q21" s="603" t="s">
        <v>23</v>
      </c>
      <c r="R21" s="764"/>
      <c r="S21" s="752"/>
      <c r="T21" s="35"/>
      <c r="V21" s="35"/>
      <c r="W21" s="35"/>
      <c r="X21" s="35"/>
      <c r="Y21" s="35"/>
      <c r="Z21" s="35"/>
      <c r="AA21" s="35"/>
      <c r="AB21" s="35"/>
      <c r="AC21" s="35"/>
      <c r="AD21" s="35"/>
      <c r="AE21" s="35"/>
      <c r="AF21" s="35"/>
    </row>
    <row r="22" spans="1:32">
      <c r="A22" s="187" t="s">
        <v>2443</v>
      </c>
      <c r="B22" s="187"/>
      <c r="C22" s="187" t="s">
        <v>16</v>
      </c>
      <c r="D22" s="298" t="s">
        <v>2444</v>
      </c>
      <c r="E22" s="765"/>
      <c r="F22" s="298"/>
      <c r="G22" s="386"/>
      <c r="H22" s="216" t="s">
        <v>415</v>
      </c>
      <c r="I22" s="216" t="s">
        <v>531</v>
      </c>
      <c r="J22" s="189"/>
      <c r="K22" s="603"/>
      <c r="L22" s="603"/>
      <c r="M22" s="603"/>
      <c r="N22" s="603"/>
      <c r="O22" s="603"/>
      <c r="P22" s="603"/>
      <c r="Q22" s="603" t="s">
        <v>23</v>
      </c>
      <c r="R22" s="764"/>
      <c r="S22" s="752"/>
      <c r="T22" s="35"/>
      <c r="V22" s="35"/>
      <c r="W22" s="35"/>
      <c r="X22" s="35"/>
      <c r="Y22" s="35"/>
      <c r="Z22" s="35"/>
      <c r="AA22" s="35"/>
      <c r="AB22" s="35"/>
      <c r="AC22" s="35"/>
      <c r="AD22" s="35"/>
      <c r="AE22" s="35"/>
      <c r="AF22" s="35"/>
    </row>
    <row r="23" spans="1:32" ht="42">
      <c r="A23" s="170" t="s">
        <v>2445</v>
      </c>
      <c r="B23" s="170"/>
      <c r="C23" s="170" t="s">
        <v>16</v>
      </c>
      <c r="D23" s="292" t="s">
        <v>2446</v>
      </c>
      <c r="E23" s="248"/>
      <c r="F23" s="361" t="s">
        <v>2447</v>
      </c>
      <c r="G23" s="292" t="s">
        <v>2448</v>
      </c>
      <c r="H23" s="215" t="s">
        <v>415</v>
      </c>
      <c r="I23" s="215" t="s">
        <v>22</v>
      </c>
      <c r="J23" s="111" t="s">
        <v>23</v>
      </c>
      <c r="K23" s="603"/>
      <c r="L23" s="603"/>
      <c r="M23" s="603"/>
      <c r="N23" s="603"/>
      <c r="O23" s="603"/>
      <c r="P23" s="603"/>
      <c r="Q23" s="603"/>
      <c r="R23" s="751"/>
      <c r="S23" s="752"/>
    </row>
    <row r="24" spans="1:32">
      <c r="A24" s="753" t="s">
        <v>2449</v>
      </c>
      <c r="B24" s="753"/>
      <c r="C24" s="753" t="s">
        <v>16</v>
      </c>
      <c r="D24" s="759" t="s">
        <v>2450</v>
      </c>
      <c r="E24" s="766"/>
      <c r="F24" s="759"/>
      <c r="G24" s="761"/>
      <c r="H24" s="762" t="s">
        <v>415</v>
      </c>
      <c r="I24" s="762" t="s">
        <v>531</v>
      </c>
      <c r="J24" s="316" t="s">
        <v>416</v>
      </c>
      <c r="K24" s="608"/>
      <c r="L24" s="608"/>
      <c r="M24" s="608"/>
      <c r="N24" s="608"/>
      <c r="O24" s="608"/>
      <c r="P24" s="608"/>
      <c r="Q24" s="608"/>
      <c r="R24" s="767"/>
      <c r="S24" s="768" t="s">
        <v>2451</v>
      </c>
      <c r="T24" s="119"/>
      <c r="U24" s="119"/>
      <c r="V24" s="119"/>
      <c r="W24" s="119"/>
      <c r="X24" s="119"/>
      <c r="Y24" s="119"/>
      <c r="Z24" s="119"/>
      <c r="AA24" s="119"/>
      <c r="AB24" s="119"/>
      <c r="AC24" s="119"/>
      <c r="AD24" s="119"/>
      <c r="AE24" s="119"/>
      <c r="AF24" s="119"/>
    </row>
    <row r="25" spans="1:32">
      <c r="A25" s="170" t="s">
        <v>2452</v>
      </c>
      <c r="B25" s="170"/>
      <c r="C25" s="170" t="s">
        <v>16</v>
      </c>
      <c r="D25" s="292" t="s">
        <v>2453</v>
      </c>
      <c r="E25" s="248"/>
      <c r="F25" s="292" t="s">
        <v>2454</v>
      </c>
      <c r="G25" s="361"/>
      <c r="H25" s="215" t="s">
        <v>415</v>
      </c>
      <c r="I25" s="215" t="s">
        <v>531</v>
      </c>
      <c r="J25" s="111"/>
      <c r="K25" s="603"/>
      <c r="L25" s="603"/>
      <c r="M25" s="603"/>
      <c r="N25" s="603" t="s">
        <v>23</v>
      </c>
      <c r="O25" s="603"/>
      <c r="P25" s="603"/>
      <c r="Q25" s="603"/>
      <c r="R25" s="751"/>
      <c r="S25" s="752"/>
    </row>
    <row r="26" spans="1:32">
      <c r="A26" s="187" t="s">
        <v>2455</v>
      </c>
      <c r="B26" s="187"/>
      <c r="C26" s="187" t="s">
        <v>16</v>
      </c>
      <c r="D26" s="298" t="s">
        <v>2456</v>
      </c>
      <c r="E26" s="765"/>
      <c r="F26" s="298"/>
      <c r="G26" s="386"/>
      <c r="H26" s="216" t="s">
        <v>415</v>
      </c>
      <c r="I26" s="216" t="s">
        <v>531</v>
      </c>
      <c r="J26" s="189"/>
      <c r="K26" s="603"/>
      <c r="L26" s="603"/>
      <c r="M26" s="603"/>
      <c r="N26" s="603"/>
      <c r="O26" s="603"/>
      <c r="P26" s="603"/>
      <c r="Q26" s="603" t="s">
        <v>23</v>
      </c>
      <c r="R26" s="764"/>
      <c r="S26" s="752" t="s">
        <v>2457</v>
      </c>
      <c r="T26" s="35"/>
      <c r="V26" s="35"/>
      <c r="W26" s="35"/>
      <c r="X26" s="35"/>
      <c r="Y26" s="35"/>
      <c r="Z26" s="35"/>
      <c r="AA26" s="35"/>
      <c r="AB26" s="35"/>
      <c r="AC26" s="35"/>
      <c r="AD26" s="35"/>
      <c r="AE26" s="35"/>
      <c r="AF26" s="35"/>
    </row>
    <row r="27" spans="1:32" ht="42">
      <c r="A27" s="170" t="s">
        <v>2458</v>
      </c>
      <c r="B27" s="170"/>
      <c r="C27" s="170" t="s">
        <v>16</v>
      </c>
      <c r="D27" s="292" t="s">
        <v>2459</v>
      </c>
      <c r="E27" s="248"/>
      <c r="F27" s="292" t="s">
        <v>2460</v>
      </c>
      <c r="G27" s="361"/>
      <c r="H27" s="215" t="s">
        <v>2461</v>
      </c>
      <c r="I27" s="215" t="s">
        <v>22</v>
      </c>
      <c r="J27" s="111"/>
      <c r="K27" s="603"/>
      <c r="L27" s="603"/>
      <c r="M27" s="603" t="s">
        <v>23</v>
      </c>
      <c r="N27" s="603"/>
      <c r="O27" s="603"/>
      <c r="P27" s="603"/>
      <c r="Q27" s="603"/>
      <c r="R27" s="751"/>
      <c r="S27" s="752"/>
    </row>
    <row r="28" spans="1:32">
      <c r="A28" s="170" t="s">
        <v>2462</v>
      </c>
      <c r="B28" s="170"/>
      <c r="C28" s="170" t="s">
        <v>16</v>
      </c>
      <c r="D28" s="292" t="s">
        <v>2463</v>
      </c>
      <c r="E28" s="248"/>
      <c r="F28" s="292" t="s">
        <v>2464</v>
      </c>
      <c r="G28" s="361"/>
      <c r="H28" s="215" t="s">
        <v>415</v>
      </c>
      <c r="I28" s="215" t="s">
        <v>22</v>
      </c>
      <c r="J28" s="111"/>
      <c r="K28" s="603" t="s">
        <v>23</v>
      </c>
      <c r="L28" s="603"/>
      <c r="M28" s="603"/>
      <c r="N28" s="603"/>
      <c r="O28" s="603"/>
      <c r="P28" s="603"/>
      <c r="Q28" s="603"/>
      <c r="R28" s="751"/>
      <c r="S28" s="752"/>
    </row>
    <row r="29" spans="1:32" ht="28">
      <c r="A29" s="753" t="s">
        <v>2465</v>
      </c>
      <c r="B29" s="753"/>
      <c r="C29" s="753" t="s">
        <v>16</v>
      </c>
      <c r="D29" s="759" t="s">
        <v>2466</v>
      </c>
      <c r="E29" s="766"/>
      <c r="F29" s="759" t="s">
        <v>2467</v>
      </c>
      <c r="G29" s="761"/>
      <c r="H29" s="762" t="s">
        <v>415</v>
      </c>
      <c r="I29" s="762" t="s">
        <v>22</v>
      </c>
      <c r="J29" s="189" t="s">
        <v>416</v>
      </c>
      <c r="K29" s="603"/>
      <c r="L29" s="603"/>
      <c r="M29" s="603"/>
      <c r="N29" s="603"/>
      <c r="O29" s="603"/>
      <c r="P29" s="603"/>
      <c r="Q29" s="603"/>
      <c r="R29" s="767" t="s">
        <v>2468</v>
      </c>
      <c r="S29" s="752"/>
    </row>
    <row r="30" spans="1:32" ht="42">
      <c r="A30" s="116" t="s">
        <v>2469</v>
      </c>
      <c r="B30" s="116"/>
      <c r="C30" s="228" t="s">
        <v>16</v>
      </c>
      <c r="D30" s="571" t="s">
        <v>2470</v>
      </c>
      <c r="E30" s="769" t="s">
        <v>2471</v>
      </c>
      <c r="F30" s="571" t="s">
        <v>2472</v>
      </c>
      <c r="G30" s="770" t="s">
        <v>2473</v>
      </c>
      <c r="H30" s="228" t="s">
        <v>415</v>
      </c>
      <c r="I30" s="228" t="s">
        <v>22</v>
      </c>
      <c r="J30" s="84"/>
      <c r="K30" s="603" t="s">
        <v>23</v>
      </c>
      <c r="L30" s="603"/>
      <c r="M30" s="603"/>
      <c r="N30" s="603"/>
      <c r="O30" s="603"/>
      <c r="P30" s="603"/>
      <c r="Q30" s="603"/>
      <c r="R30" s="771"/>
      <c r="S30" s="752"/>
    </row>
    <row r="31" spans="1:32" ht="56">
      <c r="A31" s="116" t="s">
        <v>2474</v>
      </c>
      <c r="B31" s="116"/>
      <c r="C31" s="228" t="s">
        <v>16</v>
      </c>
      <c r="D31" s="571" t="s">
        <v>2475</v>
      </c>
      <c r="E31" s="769"/>
      <c r="F31" s="571" t="s">
        <v>2476</v>
      </c>
      <c r="G31" s="770" t="s">
        <v>2477</v>
      </c>
      <c r="H31" s="228" t="s">
        <v>415</v>
      </c>
      <c r="I31" s="228" t="s">
        <v>22</v>
      </c>
      <c r="J31" s="76"/>
      <c r="K31" s="603" t="s">
        <v>23</v>
      </c>
      <c r="L31" s="603"/>
      <c r="M31" s="603"/>
      <c r="N31" s="603"/>
      <c r="O31" s="603"/>
      <c r="P31" s="603"/>
      <c r="Q31" s="603"/>
      <c r="R31" s="772"/>
      <c r="S31" s="752"/>
    </row>
    <row r="32" spans="1:32" ht="28">
      <c r="A32" s="116" t="s">
        <v>2478</v>
      </c>
      <c r="B32" s="116"/>
      <c r="C32" s="228" t="s">
        <v>16</v>
      </c>
      <c r="D32" s="571" t="s">
        <v>2479</v>
      </c>
      <c r="E32" s="769"/>
      <c r="F32" s="571" t="s">
        <v>2480</v>
      </c>
      <c r="G32" s="770" t="s">
        <v>2481</v>
      </c>
      <c r="H32" s="228" t="s">
        <v>415</v>
      </c>
      <c r="I32" s="228" t="s">
        <v>22</v>
      </c>
      <c r="J32" s="76"/>
      <c r="K32" s="603" t="s">
        <v>23</v>
      </c>
      <c r="L32" s="603"/>
      <c r="M32" s="603"/>
      <c r="N32" s="603"/>
      <c r="O32" s="603"/>
      <c r="P32" s="603"/>
      <c r="Q32" s="603"/>
      <c r="R32" s="772"/>
      <c r="S32" s="752"/>
    </row>
    <row r="33" spans="1:32" ht="56">
      <c r="A33" s="116" t="s">
        <v>2482</v>
      </c>
      <c r="B33" s="116"/>
      <c r="C33" s="228" t="s">
        <v>16</v>
      </c>
      <c r="D33" s="571" t="s">
        <v>2483</v>
      </c>
      <c r="E33" s="492" t="s">
        <v>2484</v>
      </c>
      <c r="F33" s="571" t="s">
        <v>2485</v>
      </c>
      <c r="G33" s="770" t="s">
        <v>2486</v>
      </c>
      <c r="H33" s="228" t="s">
        <v>415</v>
      </c>
      <c r="I33" s="228" t="s">
        <v>531</v>
      </c>
      <c r="J33" s="76"/>
      <c r="K33" s="603"/>
      <c r="L33" s="603"/>
      <c r="M33" s="603"/>
      <c r="N33" s="603"/>
      <c r="O33" s="603"/>
      <c r="P33" s="603"/>
      <c r="Q33" s="603" t="s">
        <v>64</v>
      </c>
      <c r="R33" s="605" t="s">
        <v>2487</v>
      </c>
      <c r="S33" s="752" t="s">
        <v>2488</v>
      </c>
    </row>
    <row r="34" spans="1:32" ht="56">
      <c r="A34" s="116" t="s">
        <v>2489</v>
      </c>
      <c r="B34" s="116"/>
      <c r="C34" s="228" t="s">
        <v>16</v>
      </c>
      <c r="D34" s="571" t="s">
        <v>2490</v>
      </c>
      <c r="E34" s="492" t="s">
        <v>2491</v>
      </c>
      <c r="F34" s="571" t="s">
        <v>2485</v>
      </c>
      <c r="G34" s="770" t="s">
        <v>2486</v>
      </c>
      <c r="H34" s="228" t="s">
        <v>415</v>
      </c>
      <c r="I34" s="228" t="s">
        <v>531</v>
      </c>
      <c r="J34" s="76"/>
      <c r="K34" s="603"/>
      <c r="L34" s="603"/>
      <c r="M34" s="603"/>
      <c r="N34" s="603"/>
      <c r="O34" s="603"/>
      <c r="P34" s="603"/>
      <c r="Q34" s="603" t="s">
        <v>64</v>
      </c>
      <c r="R34" s="605" t="s">
        <v>2487</v>
      </c>
      <c r="S34" s="752" t="s">
        <v>2488</v>
      </c>
    </row>
    <row r="35" spans="1:32" ht="49.5">
      <c r="A35" s="170"/>
      <c r="B35" s="170"/>
      <c r="C35" s="215" t="s">
        <v>16</v>
      </c>
      <c r="D35" s="292" t="s">
        <v>3262</v>
      </c>
      <c r="E35" s="248"/>
      <c r="F35" s="292" t="s">
        <v>2492</v>
      </c>
      <c r="G35" s="361"/>
      <c r="H35" s="215" t="s">
        <v>2461</v>
      </c>
      <c r="I35" s="215" t="s">
        <v>531</v>
      </c>
      <c r="J35" s="111"/>
      <c r="K35" s="603"/>
      <c r="L35" s="603"/>
      <c r="M35" s="603"/>
      <c r="N35" s="603"/>
      <c r="O35" s="603"/>
      <c r="P35" s="603"/>
      <c r="Q35" s="603"/>
      <c r="R35" s="751"/>
      <c r="S35" s="752"/>
    </row>
    <row r="36" spans="1:32" ht="84">
      <c r="A36" s="100" t="s">
        <v>2493</v>
      </c>
      <c r="B36" s="116"/>
      <c r="C36" s="514" t="s">
        <v>16</v>
      </c>
      <c r="D36" s="302" t="s">
        <v>2494</v>
      </c>
      <c r="E36" s="773"/>
      <c r="F36" s="302" t="s">
        <v>2495</v>
      </c>
      <c r="G36" s="580" t="s">
        <v>2496</v>
      </c>
      <c r="H36" s="169"/>
      <c r="I36" s="169"/>
      <c r="J36" s="84" t="s">
        <v>23</v>
      </c>
      <c r="K36" s="175"/>
      <c r="L36" s="175"/>
      <c r="M36" s="175"/>
      <c r="N36" s="175"/>
      <c r="O36" s="175"/>
      <c r="P36" s="175"/>
      <c r="Q36" s="175"/>
      <c r="R36" s="220"/>
      <c r="S36" s="774"/>
      <c r="T36" s="213"/>
      <c r="U36" s="213"/>
      <c r="V36" s="213"/>
      <c r="W36" s="213"/>
      <c r="X36" s="213"/>
      <c r="Y36" s="213"/>
      <c r="Z36" s="213"/>
      <c r="AA36" s="213"/>
      <c r="AB36" s="213"/>
      <c r="AC36" s="213"/>
      <c r="AD36" s="213"/>
      <c r="AE36" s="213"/>
      <c r="AF36" s="213"/>
    </row>
    <row r="37" spans="1:32" ht="132">
      <c r="A37" s="100" t="s">
        <v>2497</v>
      </c>
      <c r="B37" s="116"/>
      <c r="C37" s="514" t="s">
        <v>16</v>
      </c>
      <c r="D37" s="302" t="s">
        <v>2498</v>
      </c>
      <c r="E37" s="129" t="s">
        <v>3263</v>
      </c>
      <c r="F37" s="302" t="s">
        <v>2499</v>
      </c>
      <c r="G37" s="580" t="s">
        <v>2500</v>
      </c>
      <c r="H37" s="169"/>
      <c r="I37" s="169"/>
      <c r="J37" s="84"/>
      <c r="K37" s="175"/>
      <c r="L37" s="175"/>
      <c r="M37" s="175"/>
      <c r="N37" s="175" t="s">
        <v>23</v>
      </c>
      <c r="O37" s="175"/>
      <c r="P37" s="175"/>
      <c r="Q37" s="175"/>
      <c r="R37" s="220"/>
      <c r="S37" s="774"/>
      <c r="T37" s="213"/>
      <c r="U37" s="213"/>
      <c r="V37" s="213"/>
      <c r="W37" s="213"/>
      <c r="X37" s="213"/>
      <c r="Y37" s="213"/>
      <c r="Z37" s="213"/>
      <c r="AA37" s="213"/>
      <c r="AB37" s="213"/>
      <c r="AC37" s="213"/>
      <c r="AD37" s="213"/>
      <c r="AE37" s="213"/>
      <c r="AF37" s="213"/>
    </row>
    <row r="38" spans="1:32" ht="126">
      <c r="A38" s="59" t="s">
        <v>2501</v>
      </c>
      <c r="B38" s="37"/>
      <c r="C38" s="514" t="s">
        <v>16</v>
      </c>
      <c r="D38" s="580" t="s">
        <v>2502</v>
      </c>
      <c r="E38" s="775" t="s">
        <v>2131</v>
      </c>
      <c r="F38" s="580" t="s">
        <v>2503</v>
      </c>
      <c r="G38" s="580" t="s">
        <v>2504</v>
      </c>
      <c r="H38" s="169"/>
      <c r="I38" s="169"/>
      <c r="J38" s="84"/>
      <c r="K38" s="175"/>
      <c r="L38" s="175"/>
      <c r="M38" s="175"/>
      <c r="N38" s="175" t="s">
        <v>23</v>
      </c>
      <c r="O38" s="175"/>
      <c r="P38" s="175"/>
      <c r="Q38" s="175"/>
      <c r="R38" s="220"/>
      <c r="S38" s="774"/>
      <c r="T38" s="213"/>
      <c r="U38" s="213"/>
      <c r="V38" s="213"/>
      <c r="W38" s="213"/>
      <c r="X38" s="213"/>
      <c r="Y38" s="213"/>
      <c r="Z38" s="213"/>
      <c r="AA38" s="213"/>
      <c r="AB38" s="213"/>
      <c r="AC38" s="213"/>
      <c r="AD38" s="213"/>
      <c r="AE38" s="213"/>
      <c r="AF38" s="213"/>
    </row>
    <row r="39" spans="1:32" ht="112">
      <c r="A39" s="59" t="s">
        <v>2505</v>
      </c>
      <c r="B39" s="37"/>
      <c r="C39" s="514" t="s">
        <v>16</v>
      </c>
      <c r="D39" s="580" t="s">
        <v>2506</v>
      </c>
      <c r="E39" s="128" t="s">
        <v>2507</v>
      </c>
      <c r="F39" s="580" t="s">
        <v>2508</v>
      </c>
      <c r="G39" s="580" t="s">
        <v>2509</v>
      </c>
      <c r="H39" s="169"/>
      <c r="I39" s="169"/>
      <c r="J39" s="84"/>
      <c r="K39" s="175"/>
      <c r="L39" s="175"/>
      <c r="M39" s="175"/>
      <c r="N39" s="175" t="s">
        <v>23</v>
      </c>
      <c r="O39" s="175"/>
      <c r="P39" s="175"/>
      <c r="Q39" s="175"/>
      <c r="R39" s="220"/>
      <c r="S39" s="774"/>
      <c r="T39" s="213"/>
      <c r="U39" s="213"/>
      <c r="V39" s="213"/>
      <c r="W39" s="213"/>
      <c r="X39" s="213"/>
      <c r="Y39" s="213"/>
      <c r="Z39" s="213"/>
      <c r="AA39" s="213"/>
      <c r="AB39" s="213"/>
      <c r="AC39" s="213"/>
      <c r="AD39" s="213"/>
      <c r="AE39" s="213"/>
      <c r="AF39" s="213"/>
    </row>
    <row r="40" spans="1:32" ht="126">
      <c r="A40" s="59" t="s">
        <v>2510</v>
      </c>
      <c r="B40" s="37"/>
      <c r="C40" s="514" t="s">
        <v>16</v>
      </c>
      <c r="D40" s="580" t="s">
        <v>2511</v>
      </c>
      <c r="E40" s="127"/>
      <c r="F40" s="580" t="s">
        <v>2512</v>
      </c>
      <c r="G40" s="580" t="s">
        <v>2504</v>
      </c>
      <c r="H40" s="169"/>
      <c r="I40" s="169"/>
      <c r="J40" s="84"/>
      <c r="K40" s="175"/>
      <c r="L40" s="175"/>
      <c r="M40" s="175"/>
      <c r="N40" s="175" t="s">
        <v>23</v>
      </c>
      <c r="O40" s="175"/>
      <c r="P40" s="175"/>
      <c r="Q40" s="175"/>
      <c r="R40" s="220"/>
      <c r="S40" s="774"/>
      <c r="T40" s="213"/>
      <c r="U40" s="213"/>
      <c r="V40" s="213"/>
      <c r="W40" s="213"/>
      <c r="X40" s="213"/>
      <c r="Y40" s="213"/>
      <c r="Z40" s="213"/>
      <c r="AA40" s="213"/>
      <c r="AB40" s="213"/>
      <c r="AC40" s="213"/>
      <c r="AD40" s="213"/>
      <c r="AE40" s="213"/>
      <c r="AF40" s="213"/>
    </row>
    <row r="41" spans="1:32" ht="112">
      <c r="A41" s="59" t="s">
        <v>2513</v>
      </c>
      <c r="B41" s="37"/>
      <c r="C41" s="514" t="s">
        <v>16</v>
      </c>
      <c r="D41" s="580" t="s">
        <v>2514</v>
      </c>
      <c r="E41" s="128" t="s">
        <v>2507</v>
      </c>
      <c r="F41" s="580" t="s">
        <v>2515</v>
      </c>
      <c r="G41" s="580" t="s">
        <v>2509</v>
      </c>
      <c r="H41" s="169"/>
      <c r="I41" s="169"/>
      <c r="J41" s="84"/>
      <c r="K41" s="175"/>
      <c r="L41" s="175"/>
      <c r="M41" s="175"/>
      <c r="N41" s="175" t="s">
        <v>23</v>
      </c>
      <c r="O41" s="175"/>
      <c r="P41" s="175"/>
      <c r="Q41" s="175"/>
      <c r="R41" s="220"/>
      <c r="S41" s="774"/>
      <c r="T41" s="213"/>
      <c r="U41" s="213"/>
      <c r="V41" s="213"/>
      <c r="W41" s="213"/>
      <c r="X41" s="213"/>
      <c r="Y41" s="213"/>
      <c r="Z41" s="213"/>
      <c r="AA41" s="213"/>
      <c r="AB41" s="213"/>
      <c r="AC41" s="213"/>
      <c r="AD41" s="213"/>
      <c r="AE41" s="213"/>
      <c r="AF41" s="213"/>
    </row>
    <row r="42" spans="1:32" ht="126">
      <c r="A42" s="59" t="s">
        <v>2516</v>
      </c>
      <c r="B42" s="37"/>
      <c r="C42" s="514" t="s">
        <v>16</v>
      </c>
      <c r="D42" s="580" t="s">
        <v>2517</v>
      </c>
      <c r="E42" s="127"/>
      <c r="F42" s="580" t="s">
        <v>2518</v>
      </c>
      <c r="G42" s="580" t="s">
        <v>2504</v>
      </c>
      <c r="H42" s="169"/>
      <c r="I42" s="169"/>
      <c r="J42" s="84"/>
      <c r="K42" s="175"/>
      <c r="L42" s="175"/>
      <c r="M42" s="175"/>
      <c r="N42" s="175" t="s">
        <v>23</v>
      </c>
      <c r="O42" s="175"/>
      <c r="P42" s="175"/>
      <c r="Q42" s="175"/>
      <c r="R42" s="220"/>
      <c r="S42" s="774"/>
      <c r="T42" s="776"/>
      <c r="U42" s="213"/>
      <c r="V42" s="213"/>
      <c r="W42" s="213"/>
      <c r="X42" s="213"/>
      <c r="Y42" s="213"/>
      <c r="Z42" s="213"/>
      <c r="AA42" s="213"/>
      <c r="AB42" s="213"/>
      <c r="AC42" s="213"/>
      <c r="AD42" s="213"/>
      <c r="AE42" s="213"/>
      <c r="AF42" s="213"/>
    </row>
    <row r="43" spans="1:32" ht="112">
      <c r="A43" s="59" t="s">
        <v>2519</v>
      </c>
      <c r="B43" s="37"/>
      <c r="C43" s="514" t="s">
        <v>16</v>
      </c>
      <c r="D43" s="580" t="s">
        <v>2520</v>
      </c>
      <c r="E43" s="128" t="s">
        <v>2507</v>
      </c>
      <c r="F43" s="580" t="s">
        <v>2521</v>
      </c>
      <c r="G43" s="580" t="s">
        <v>2509</v>
      </c>
      <c r="H43" s="169"/>
      <c r="I43" s="169"/>
      <c r="J43" s="84"/>
      <c r="K43" s="175"/>
      <c r="L43" s="175"/>
      <c r="M43" s="175"/>
      <c r="N43" s="175" t="s">
        <v>23</v>
      </c>
      <c r="O43" s="175"/>
      <c r="P43" s="175"/>
      <c r="Q43" s="175"/>
      <c r="R43" s="220"/>
      <c r="S43" s="774"/>
      <c r="T43" s="776"/>
      <c r="U43" s="213"/>
      <c r="V43" s="213"/>
      <c r="W43" s="213"/>
      <c r="X43" s="213"/>
      <c r="Y43" s="213"/>
      <c r="Z43" s="213"/>
      <c r="AA43" s="213"/>
      <c r="AB43" s="213"/>
      <c r="AC43" s="213"/>
      <c r="AD43" s="213"/>
      <c r="AE43" s="213"/>
      <c r="AF43" s="213"/>
    </row>
    <row r="44" spans="1:32" ht="126">
      <c r="A44" s="59" t="s">
        <v>2522</v>
      </c>
      <c r="B44" s="37"/>
      <c r="C44" s="514" t="s">
        <v>16</v>
      </c>
      <c r="D44" s="580" t="s">
        <v>2523</v>
      </c>
      <c r="E44" s="127"/>
      <c r="F44" s="580" t="s">
        <v>2518</v>
      </c>
      <c r="G44" s="580" t="s">
        <v>2504</v>
      </c>
      <c r="H44" s="169"/>
      <c r="I44" s="169"/>
      <c r="J44" s="84"/>
      <c r="K44" s="175"/>
      <c r="L44" s="175"/>
      <c r="M44" s="175"/>
      <c r="N44" s="175" t="s">
        <v>23</v>
      </c>
      <c r="O44" s="175"/>
      <c r="P44" s="175"/>
      <c r="Q44" s="175"/>
      <c r="R44" s="220"/>
      <c r="S44" s="774"/>
      <c r="T44" s="776"/>
      <c r="U44" s="213"/>
      <c r="V44" s="213"/>
      <c r="W44" s="213"/>
      <c r="X44" s="213"/>
      <c r="Y44" s="213"/>
      <c r="Z44" s="213"/>
      <c r="AA44" s="213"/>
      <c r="AB44" s="213"/>
      <c r="AC44" s="213"/>
      <c r="AD44" s="213"/>
      <c r="AE44" s="213"/>
      <c r="AF44" s="213"/>
    </row>
    <row r="45" spans="1:32" ht="112">
      <c r="A45" s="59" t="s">
        <v>2524</v>
      </c>
      <c r="B45" s="37"/>
      <c r="C45" s="514" t="s">
        <v>16</v>
      </c>
      <c r="D45" s="580" t="s">
        <v>2525</v>
      </c>
      <c r="E45" s="128" t="s">
        <v>2507</v>
      </c>
      <c r="F45" s="580" t="s">
        <v>2526</v>
      </c>
      <c r="G45" s="580" t="s">
        <v>2509</v>
      </c>
      <c r="H45" s="169"/>
      <c r="I45" s="169"/>
      <c r="J45" s="84"/>
      <c r="K45" s="175"/>
      <c r="L45" s="175"/>
      <c r="M45" s="175"/>
      <c r="N45" s="175" t="s">
        <v>23</v>
      </c>
      <c r="O45" s="175"/>
      <c r="P45" s="175"/>
      <c r="Q45" s="175"/>
      <c r="R45" s="220"/>
      <c r="S45" s="774"/>
      <c r="T45" s="776"/>
      <c r="U45" s="213"/>
      <c r="V45" s="213"/>
      <c r="W45" s="213"/>
      <c r="X45" s="213"/>
      <c r="Y45" s="213"/>
      <c r="Z45" s="213"/>
      <c r="AA45" s="213"/>
      <c r="AB45" s="213"/>
      <c r="AC45" s="213"/>
      <c r="AD45" s="213"/>
      <c r="AE45" s="213"/>
      <c r="AF45" s="213"/>
    </row>
    <row r="46" spans="1:32" ht="98">
      <c r="A46" s="59" t="s">
        <v>2527</v>
      </c>
      <c r="B46" s="37"/>
      <c r="C46" s="514" t="s">
        <v>16</v>
      </c>
      <c r="D46" s="580" t="s">
        <v>2528</v>
      </c>
      <c r="E46" s="128" t="s">
        <v>2507</v>
      </c>
      <c r="F46" s="580" t="s">
        <v>2529</v>
      </c>
      <c r="G46" s="580" t="s">
        <v>2530</v>
      </c>
      <c r="H46" s="169"/>
      <c r="I46" s="169"/>
      <c r="J46" s="84"/>
      <c r="K46" s="175"/>
      <c r="L46" s="175"/>
      <c r="M46" s="175"/>
      <c r="N46" s="175" t="s">
        <v>23</v>
      </c>
      <c r="O46" s="175"/>
      <c r="P46" s="175"/>
      <c r="Q46" s="175"/>
      <c r="R46" s="220"/>
      <c r="S46" s="774"/>
      <c r="T46" s="776"/>
      <c r="U46" s="213"/>
      <c r="V46" s="213"/>
      <c r="W46" s="213"/>
      <c r="X46" s="213"/>
      <c r="Y46" s="213"/>
      <c r="Z46" s="213"/>
      <c r="AA46" s="213"/>
      <c r="AB46" s="213"/>
      <c r="AC46" s="213"/>
      <c r="AD46" s="213"/>
      <c r="AE46" s="213"/>
      <c r="AF46" s="213"/>
    </row>
    <row r="47" spans="1:32" ht="126">
      <c r="A47" s="59" t="s">
        <v>2531</v>
      </c>
      <c r="B47" s="37"/>
      <c r="C47" s="514" t="s">
        <v>16</v>
      </c>
      <c r="D47" s="580" t="s">
        <v>2532</v>
      </c>
      <c r="E47" s="128" t="s">
        <v>2507</v>
      </c>
      <c r="F47" s="59" t="s">
        <v>2533</v>
      </c>
      <c r="G47" s="580" t="s">
        <v>2534</v>
      </c>
      <c r="H47" s="37"/>
      <c r="I47" s="37"/>
      <c r="J47" s="84"/>
      <c r="K47" s="175"/>
      <c r="L47" s="175"/>
      <c r="M47" s="175"/>
      <c r="N47" s="175" t="s">
        <v>23</v>
      </c>
      <c r="O47" s="175"/>
      <c r="P47" s="175"/>
      <c r="Q47" s="175"/>
      <c r="R47" s="220"/>
      <c r="S47" s="774"/>
      <c r="T47" s="776"/>
      <c r="U47" s="213"/>
      <c r="V47" s="213"/>
      <c r="W47" s="213"/>
      <c r="X47" s="213"/>
      <c r="Y47" s="213"/>
      <c r="Z47" s="213"/>
      <c r="AA47" s="213"/>
      <c r="AB47" s="213"/>
      <c r="AC47" s="213"/>
      <c r="AD47" s="213"/>
      <c r="AE47" s="213"/>
      <c r="AF47" s="213"/>
    </row>
    <row r="48" spans="1:32" ht="126">
      <c r="A48" s="59" t="s">
        <v>2535</v>
      </c>
      <c r="B48" s="37"/>
      <c r="C48" s="514" t="s">
        <v>16</v>
      </c>
      <c r="D48" s="580" t="s">
        <v>2536</v>
      </c>
      <c r="E48" s="128" t="s">
        <v>2507</v>
      </c>
      <c r="F48" s="59" t="s">
        <v>2537</v>
      </c>
      <c r="G48" s="580" t="s">
        <v>2538</v>
      </c>
      <c r="H48" s="37"/>
      <c r="I48" s="37"/>
      <c r="J48" s="84"/>
      <c r="K48" s="175"/>
      <c r="L48" s="175"/>
      <c r="M48" s="175"/>
      <c r="N48" s="175" t="s">
        <v>23</v>
      </c>
      <c r="O48" s="175"/>
      <c r="P48" s="175"/>
      <c r="Q48" s="175"/>
      <c r="R48" s="220"/>
      <c r="S48" s="774"/>
      <c r="T48" s="776"/>
      <c r="U48" s="213"/>
      <c r="V48" s="213"/>
      <c r="W48" s="213"/>
      <c r="X48" s="213"/>
      <c r="Y48" s="213"/>
      <c r="Z48" s="213"/>
      <c r="AA48" s="213"/>
      <c r="AB48" s="213"/>
      <c r="AC48" s="213"/>
      <c r="AD48" s="213"/>
      <c r="AE48" s="213"/>
      <c r="AF48" s="213"/>
    </row>
    <row r="49" spans="1:32" ht="126">
      <c r="A49" s="59" t="s">
        <v>2539</v>
      </c>
      <c r="B49" s="37"/>
      <c r="C49" s="514" t="s">
        <v>16</v>
      </c>
      <c r="D49" s="59" t="s">
        <v>2540</v>
      </c>
      <c r="E49" s="128" t="s">
        <v>2507</v>
      </c>
      <c r="F49" s="59" t="s">
        <v>2541</v>
      </c>
      <c r="G49" s="580" t="s">
        <v>2542</v>
      </c>
      <c r="H49" s="37"/>
      <c r="I49" s="37"/>
      <c r="J49" s="84"/>
      <c r="K49" s="175"/>
      <c r="L49" s="175"/>
      <c r="M49" s="175"/>
      <c r="N49" s="175" t="s">
        <v>23</v>
      </c>
      <c r="O49" s="175"/>
      <c r="P49" s="175"/>
      <c r="Q49" s="175"/>
      <c r="R49" s="220"/>
      <c r="S49" s="774"/>
      <c r="T49" s="776"/>
      <c r="U49" s="213"/>
      <c r="V49" s="213"/>
      <c r="W49" s="213"/>
      <c r="X49" s="213"/>
      <c r="Y49" s="213"/>
      <c r="Z49" s="213"/>
      <c r="AA49" s="213"/>
      <c r="AB49" s="213"/>
      <c r="AC49" s="213"/>
      <c r="AD49" s="213"/>
      <c r="AE49" s="213"/>
      <c r="AF49" s="213"/>
    </row>
    <row r="50" spans="1:32" ht="165">
      <c r="A50" s="59" t="s">
        <v>2543</v>
      </c>
      <c r="B50" s="37"/>
      <c r="C50" s="514" t="s">
        <v>16</v>
      </c>
      <c r="D50" s="59" t="s">
        <v>2544</v>
      </c>
      <c r="E50" s="128" t="s">
        <v>2507</v>
      </c>
      <c r="F50" s="100" t="s">
        <v>2545</v>
      </c>
      <c r="G50" s="100" t="s">
        <v>3264</v>
      </c>
      <c r="H50" s="37"/>
      <c r="I50" s="37"/>
      <c r="J50" s="84"/>
      <c r="K50" s="175"/>
      <c r="L50" s="175"/>
      <c r="M50" s="175"/>
      <c r="N50" s="175" t="s">
        <v>23</v>
      </c>
      <c r="O50" s="175"/>
      <c r="P50" s="175"/>
      <c r="Q50" s="175"/>
      <c r="R50" s="220" t="s">
        <v>2546</v>
      </c>
      <c r="S50" s="774"/>
      <c r="T50" s="776"/>
      <c r="U50" s="213"/>
      <c r="V50" s="213"/>
      <c r="W50" s="213"/>
      <c r="X50" s="213"/>
      <c r="Y50" s="213"/>
      <c r="Z50" s="213"/>
      <c r="AA50" s="213"/>
      <c r="AB50" s="213"/>
      <c r="AC50" s="213"/>
      <c r="AD50" s="213"/>
      <c r="AE50" s="213"/>
      <c r="AF50" s="213"/>
    </row>
    <row r="51" spans="1:32" ht="126">
      <c r="A51" s="59" t="s">
        <v>2547</v>
      </c>
      <c r="B51" s="37"/>
      <c r="C51" s="514" t="s">
        <v>16</v>
      </c>
      <c r="D51" s="580" t="s">
        <v>2548</v>
      </c>
      <c r="E51" s="37"/>
      <c r="F51" s="580" t="s">
        <v>2503</v>
      </c>
      <c r="G51" s="580" t="s">
        <v>2504</v>
      </c>
      <c r="H51" s="37"/>
      <c r="I51" s="37"/>
      <c r="J51" s="84"/>
      <c r="K51" s="175"/>
      <c r="L51" s="175"/>
      <c r="M51" s="175"/>
      <c r="N51" s="175" t="s">
        <v>23</v>
      </c>
      <c r="O51" s="175"/>
      <c r="P51" s="175"/>
      <c r="Q51" s="175"/>
      <c r="R51" s="220"/>
      <c r="S51" s="774"/>
      <c r="T51" s="776"/>
      <c r="U51" s="213"/>
      <c r="V51" s="213"/>
      <c r="W51" s="213"/>
      <c r="X51" s="213"/>
      <c r="Y51" s="213"/>
      <c r="Z51" s="213"/>
      <c r="AA51" s="213"/>
      <c r="AB51" s="213"/>
      <c r="AC51" s="213"/>
      <c r="AD51" s="213"/>
      <c r="AE51" s="213"/>
      <c r="AF51" s="213"/>
    </row>
    <row r="52" spans="1:32" ht="112">
      <c r="A52" s="59" t="s">
        <v>2549</v>
      </c>
      <c r="B52" s="37"/>
      <c r="C52" s="514" t="s">
        <v>16</v>
      </c>
      <c r="D52" s="580" t="s">
        <v>2550</v>
      </c>
      <c r="E52" s="37"/>
      <c r="F52" s="580" t="s">
        <v>2508</v>
      </c>
      <c r="G52" s="580" t="s">
        <v>2509</v>
      </c>
      <c r="H52" s="37"/>
      <c r="I52" s="37"/>
      <c r="J52" s="84"/>
      <c r="K52" s="175"/>
      <c r="L52" s="175"/>
      <c r="M52" s="175"/>
      <c r="N52" s="175" t="s">
        <v>23</v>
      </c>
      <c r="O52" s="175"/>
      <c r="P52" s="175"/>
      <c r="Q52" s="175"/>
      <c r="R52" s="220"/>
      <c r="S52" s="774"/>
      <c r="T52" s="776"/>
      <c r="U52" s="213"/>
      <c r="V52" s="213"/>
      <c r="W52" s="213"/>
      <c r="X52" s="213"/>
      <c r="Y52" s="213"/>
      <c r="Z52" s="213"/>
      <c r="AA52" s="213"/>
      <c r="AB52" s="213"/>
      <c r="AC52" s="213"/>
      <c r="AD52" s="213"/>
      <c r="AE52" s="213"/>
      <c r="AF52" s="213"/>
    </row>
    <row r="53" spans="1:32" ht="126">
      <c r="A53" s="59" t="s">
        <v>2551</v>
      </c>
      <c r="B53" s="37"/>
      <c r="C53" s="514" t="s">
        <v>16</v>
      </c>
      <c r="D53" s="580" t="s">
        <v>2552</v>
      </c>
      <c r="E53" s="37"/>
      <c r="F53" s="580" t="s">
        <v>2512</v>
      </c>
      <c r="G53" s="580" t="s">
        <v>2504</v>
      </c>
      <c r="H53" s="37"/>
      <c r="I53" s="37"/>
      <c r="J53" s="84"/>
      <c r="K53" s="175"/>
      <c r="L53" s="175"/>
      <c r="M53" s="175"/>
      <c r="N53" s="175" t="s">
        <v>23</v>
      </c>
      <c r="O53" s="175"/>
      <c r="P53" s="175"/>
      <c r="Q53" s="175"/>
      <c r="R53" s="220"/>
      <c r="S53" s="774"/>
      <c r="T53" s="213"/>
      <c r="U53" s="213"/>
      <c r="V53" s="213"/>
      <c r="W53" s="213"/>
      <c r="X53" s="213"/>
      <c r="Y53" s="213"/>
      <c r="Z53" s="213"/>
      <c r="AA53" s="213"/>
      <c r="AB53" s="213"/>
      <c r="AC53" s="213"/>
      <c r="AD53" s="213"/>
      <c r="AE53" s="213"/>
      <c r="AF53" s="213"/>
    </row>
    <row r="54" spans="1:32" ht="112">
      <c r="A54" s="59" t="s">
        <v>2553</v>
      </c>
      <c r="B54" s="37"/>
      <c r="C54" s="514" t="s">
        <v>16</v>
      </c>
      <c r="D54" s="580" t="s">
        <v>2554</v>
      </c>
      <c r="E54" s="37"/>
      <c r="F54" s="580" t="s">
        <v>2515</v>
      </c>
      <c r="G54" s="580" t="s">
        <v>2509</v>
      </c>
      <c r="H54" s="37"/>
      <c r="I54" s="37"/>
      <c r="J54" s="84"/>
      <c r="K54" s="175"/>
      <c r="L54" s="175"/>
      <c r="M54" s="175"/>
      <c r="N54" s="175" t="s">
        <v>23</v>
      </c>
      <c r="O54" s="175"/>
      <c r="P54" s="175"/>
      <c r="Q54" s="175"/>
      <c r="R54" s="220"/>
      <c r="S54" s="774"/>
      <c r="T54" s="213"/>
      <c r="U54" s="213"/>
      <c r="V54" s="213"/>
      <c r="W54" s="213"/>
      <c r="X54" s="213"/>
      <c r="Y54" s="213"/>
      <c r="Z54" s="213"/>
      <c r="AA54" s="213"/>
      <c r="AB54" s="213"/>
      <c r="AC54" s="213"/>
      <c r="AD54" s="213"/>
      <c r="AE54" s="213"/>
      <c r="AF54" s="213"/>
    </row>
    <row r="55" spans="1:32" ht="126">
      <c r="A55" s="59" t="s">
        <v>2555</v>
      </c>
      <c r="B55" s="37"/>
      <c r="C55" s="514" t="s">
        <v>16</v>
      </c>
      <c r="D55" s="580" t="s">
        <v>2556</v>
      </c>
      <c r="E55" s="37"/>
      <c r="F55" s="580" t="s">
        <v>2518</v>
      </c>
      <c r="G55" s="580" t="s">
        <v>2504</v>
      </c>
      <c r="H55" s="37"/>
      <c r="I55" s="37"/>
      <c r="J55" s="84"/>
      <c r="K55" s="175"/>
      <c r="L55" s="175"/>
      <c r="M55" s="175"/>
      <c r="N55" s="175" t="s">
        <v>23</v>
      </c>
      <c r="O55" s="175"/>
      <c r="P55" s="175"/>
      <c r="Q55" s="175"/>
      <c r="R55" s="220"/>
      <c r="S55" s="774"/>
      <c r="T55" s="213"/>
      <c r="U55" s="213"/>
      <c r="V55" s="213"/>
      <c r="W55" s="213"/>
      <c r="X55" s="213"/>
      <c r="Y55" s="213"/>
      <c r="Z55" s="213"/>
      <c r="AA55" s="213"/>
      <c r="AB55" s="213"/>
      <c r="AC55" s="213"/>
      <c r="AD55" s="213"/>
      <c r="AE55" s="213"/>
      <c r="AF55" s="213"/>
    </row>
    <row r="56" spans="1:32" ht="112">
      <c r="A56" s="59" t="s">
        <v>2557</v>
      </c>
      <c r="B56" s="37"/>
      <c r="C56" s="514" t="s">
        <v>16</v>
      </c>
      <c r="D56" s="580" t="s">
        <v>2558</v>
      </c>
      <c r="E56" s="37"/>
      <c r="F56" s="580" t="s">
        <v>2521</v>
      </c>
      <c r="G56" s="580" t="s">
        <v>2509</v>
      </c>
      <c r="H56" s="37"/>
      <c r="I56" s="37"/>
      <c r="J56" s="84"/>
      <c r="K56" s="175"/>
      <c r="L56" s="175"/>
      <c r="M56" s="175"/>
      <c r="N56" s="175" t="s">
        <v>23</v>
      </c>
      <c r="O56" s="175"/>
      <c r="P56" s="175"/>
      <c r="Q56" s="175"/>
      <c r="R56" s="220"/>
      <c r="S56" s="774"/>
      <c r="T56" s="213"/>
      <c r="U56" s="213"/>
      <c r="V56" s="213"/>
      <c r="W56" s="213"/>
      <c r="X56" s="213"/>
      <c r="Y56" s="213"/>
      <c r="Z56" s="213"/>
      <c r="AA56" s="213"/>
      <c r="AB56" s="213"/>
      <c r="AC56" s="213"/>
      <c r="AD56" s="213"/>
      <c r="AE56" s="213"/>
      <c r="AF56" s="213"/>
    </row>
    <row r="57" spans="1:32" ht="126">
      <c r="A57" s="59" t="s">
        <v>2559</v>
      </c>
      <c r="B57" s="37"/>
      <c r="C57" s="514" t="s">
        <v>16</v>
      </c>
      <c r="D57" s="580" t="s">
        <v>2560</v>
      </c>
      <c r="E57" s="37"/>
      <c r="F57" s="580" t="s">
        <v>2518</v>
      </c>
      <c r="G57" s="580" t="s">
        <v>2504</v>
      </c>
      <c r="H57" s="37"/>
      <c r="I57" s="37"/>
      <c r="J57" s="84"/>
      <c r="K57" s="175"/>
      <c r="L57" s="175"/>
      <c r="M57" s="175"/>
      <c r="N57" s="175" t="s">
        <v>23</v>
      </c>
      <c r="O57" s="175"/>
      <c r="P57" s="175"/>
      <c r="Q57" s="175"/>
      <c r="R57" s="220"/>
      <c r="S57" s="774"/>
      <c r="T57" s="213"/>
      <c r="U57" s="213"/>
      <c r="V57" s="213"/>
      <c r="W57" s="213"/>
      <c r="X57" s="213"/>
      <c r="Y57" s="213"/>
      <c r="Z57" s="213"/>
      <c r="AA57" s="213"/>
      <c r="AB57" s="213"/>
      <c r="AC57" s="213"/>
      <c r="AD57" s="213"/>
      <c r="AE57" s="213"/>
      <c r="AF57" s="213"/>
    </row>
    <row r="58" spans="1:32" ht="112">
      <c r="A58" s="59" t="s">
        <v>2561</v>
      </c>
      <c r="B58" s="37"/>
      <c r="C58" s="514" t="s">
        <v>16</v>
      </c>
      <c r="D58" s="580" t="s">
        <v>2562</v>
      </c>
      <c r="E58" s="37"/>
      <c r="F58" s="580" t="s">
        <v>2526</v>
      </c>
      <c r="G58" s="580" t="s">
        <v>2509</v>
      </c>
      <c r="H58" s="37"/>
      <c r="I58" s="37"/>
      <c r="J58" s="84"/>
      <c r="K58" s="175"/>
      <c r="L58" s="175"/>
      <c r="M58" s="175"/>
      <c r="N58" s="175" t="s">
        <v>23</v>
      </c>
      <c r="O58" s="175"/>
      <c r="P58" s="175"/>
      <c r="Q58" s="175"/>
      <c r="R58" s="220"/>
      <c r="S58" s="774"/>
      <c r="T58" s="213"/>
      <c r="U58" s="213"/>
      <c r="V58" s="213"/>
      <c r="W58" s="213"/>
      <c r="X58" s="213"/>
      <c r="Y58" s="213"/>
      <c r="Z58" s="213"/>
      <c r="AA58" s="213"/>
      <c r="AB58" s="213"/>
      <c r="AC58" s="213"/>
      <c r="AD58" s="213"/>
      <c r="AE58" s="213"/>
      <c r="AF58" s="213"/>
    </row>
    <row r="59" spans="1:32" ht="70">
      <c r="A59" s="59" t="s">
        <v>2563</v>
      </c>
      <c r="B59" s="37"/>
      <c r="C59" s="514" t="s">
        <v>16</v>
      </c>
      <c r="D59" s="770" t="s">
        <v>2564</v>
      </c>
      <c r="E59" s="121" t="s">
        <v>2565</v>
      </c>
      <c r="F59" s="770" t="s">
        <v>2566</v>
      </c>
      <c r="G59" s="770" t="s">
        <v>2567</v>
      </c>
      <c r="H59" s="37"/>
      <c r="I59" s="37"/>
      <c r="J59" s="76"/>
      <c r="K59" s="175"/>
      <c r="L59" s="175"/>
      <c r="M59" s="175"/>
      <c r="N59" s="175"/>
      <c r="O59" s="175" t="s">
        <v>23</v>
      </c>
      <c r="P59" s="175"/>
      <c r="Q59" s="175"/>
      <c r="R59" s="605"/>
      <c r="S59" s="752"/>
      <c r="T59" s="35"/>
      <c r="V59" s="35"/>
      <c r="W59" s="35"/>
      <c r="X59" s="35"/>
      <c r="Y59" s="35"/>
      <c r="Z59" s="35"/>
      <c r="AA59" s="35"/>
      <c r="AB59" s="35"/>
      <c r="AC59" s="35"/>
      <c r="AD59" s="35"/>
      <c r="AE59" s="35"/>
      <c r="AF59" s="35"/>
    </row>
    <row r="60" spans="1:32" ht="126">
      <c r="A60" s="59" t="s">
        <v>2568</v>
      </c>
      <c r="B60" s="37"/>
      <c r="C60" s="514" t="s">
        <v>16</v>
      </c>
      <c r="D60" s="770" t="s">
        <v>2569</v>
      </c>
      <c r="E60" s="121" t="s">
        <v>2570</v>
      </c>
      <c r="F60" s="770" t="s">
        <v>2571</v>
      </c>
      <c r="G60" s="770" t="s">
        <v>2572</v>
      </c>
      <c r="H60" s="37"/>
      <c r="I60" s="37"/>
      <c r="J60" s="76"/>
      <c r="K60" s="175"/>
      <c r="L60" s="175"/>
      <c r="M60" s="175"/>
      <c r="N60" s="175"/>
      <c r="O60" s="175" t="s">
        <v>23</v>
      </c>
      <c r="P60" s="175"/>
      <c r="Q60" s="175"/>
      <c r="R60" s="605"/>
      <c r="S60" s="752"/>
      <c r="T60" s="35"/>
      <c r="V60" s="35"/>
      <c r="W60" s="35"/>
      <c r="X60" s="35"/>
      <c r="Y60" s="35"/>
      <c r="Z60" s="35"/>
      <c r="AA60" s="35"/>
      <c r="AB60" s="35"/>
      <c r="AC60" s="35"/>
      <c r="AD60" s="35"/>
      <c r="AE60" s="35"/>
      <c r="AF60" s="35"/>
    </row>
    <row r="61" spans="1:32" ht="126">
      <c r="A61" s="59" t="s">
        <v>2573</v>
      </c>
      <c r="B61" s="37"/>
      <c r="C61" s="514" t="s">
        <v>16</v>
      </c>
      <c r="D61" s="770" t="s">
        <v>2574</v>
      </c>
      <c r="E61" s="121" t="s">
        <v>2575</v>
      </c>
      <c r="F61" s="770" t="s">
        <v>2576</v>
      </c>
      <c r="G61" s="770" t="s">
        <v>2577</v>
      </c>
      <c r="H61" s="37"/>
      <c r="I61" s="37"/>
      <c r="J61" s="76"/>
      <c r="K61" s="175"/>
      <c r="L61" s="175"/>
      <c r="M61" s="175"/>
      <c r="N61" s="175"/>
      <c r="O61" s="175" t="s">
        <v>23</v>
      </c>
      <c r="P61" s="175"/>
      <c r="Q61" s="175"/>
      <c r="R61" s="605"/>
      <c r="S61" s="752"/>
      <c r="T61" s="35"/>
      <c r="V61" s="35"/>
      <c r="W61" s="35"/>
      <c r="X61" s="35"/>
      <c r="Y61" s="35"/>
      <c r="Z61" s="35"/>
      <c r="AA61" s="35"/>
      <c r="AB61" s="35"/>
      <c r="AC61" s="35"/>
      <c r="AD61" s="35"/>
      <c r="AE61" s="35"/>
      <c r="AF61" s="35"/>
    </row>
    <row r="62" spans="1:32" ht="98">
      <c r="A62" s="59" t="s">
        <v>2578</v>
      </c>
      <c r="B62" s="37"/>
      <c r="C62" s="514" t="s">
        <v>16</v>
      </c>
      <c r="D62" s="770" t="s">
        <v>2579</v>
      </c>
      <c r="E62" s="121" t="s">
        <v>2580</v>
      </c>
      <c r="F62" s="770" t="s">
        <v>2581</v>
      </c>
      <c r="G62" s="770" t="s">
        <v>2582</v>
      </c>
      <c r="H62" s="37"/>
      <c r="I62" s="37"/>
      <c r="J62" s="76"/>
      <c r="K62" s="175"/>
      <c r="L62" s="175"/>
      <c r="M62" s="175"/>
      <c r="N62" s="175"/>
      <c r="O62" s="175" t="s">
        <v>23</v>
      </c>
      <c r="P62" s="175"/>
      <c r="Q62" s="175"/>
      <c r="R62" s="605" t="s">
        <v>2487</v>
      </c>
      <c r="S62" s="752"/>
      <c r="T62" s="35"/>
      <c r="V62" s="35"/>
      <c r="W62" s="35"/>
      <c r="X62" s="35"/>
      <c r="Y62" s="35"/>
      <c r="Z62" s="35"/>
      <c r="AA62" s="35"/>
      <c r="AB62" s="35"/>
      <c r="AC62" s="35"/>
      <c r="AD62" s="35"/>
      <c r="AE62" s="35"/>
      <c r="AF62" s="35"/>
    </row>
    <row r="63" spans="1:32" ht="42">
      <c r="A63" s="59" t="s">
        <v>2583</v>
      </c>
      <c r="B63" s="37"/>
      <c r="C63" s="514" t="s">
        <v>16</v>
      </c>
      <c r="D63" s="770" t="s">
        <v>2584</v>
      </c>
      <c r="E63" s="121"/>
      <c r="F63" s="770"/>
      <c r="G63" s="770"/>
      <c r="H63" s="37"/>
      <c r="I63" s="37"/>
      <c r="J63" s="76"/>
      <c r="K63" s="175"/>
      <c r="L63" s="175"/>
      <c r="M63" s="175"/>
      <c r="N63" s="175"/>
      <c r="O63" s="175" t="s">
        <v>23</v>
      </c>
      <c r="P63" s="175"/>
      <c r="Q63" s="175"/>
      <c r="R63" s="605"/>
      <c r="S63" s="752"/>
      <c r="T63" s="35"/>
      <c r="V63" s="35"/>
      <c r="W63" s="35"/>
      <c r="X63" s="35"/>
      <c r="Y63" s="35"/>
      <c r="Z63" s="35"/>
      <c r="AA63" s="35"/>
      <c r="AB63" s="35"/>
      <c r="AC63" s="35"/>
      <c r="AD63" s="35"/>
      <c r="AE63" s="35"/>
      <c r="AF63" s="35"/>
    </row>
    <row r="64" spans="1:32" ht="112">
      <c r="A64" s="59" t="s">
        <v>2585</v>
      </c>
      <c r="B64" s="37"/>
      <c r="C64" s="514" t="s">
        <v>16</v>
      </c>
      <c r="D64" s="770" t="s">
        <v>2586</v>
      </c>
      <c r="E64" s="121" t="s">
        <v>2587</v>
      </c>
      <c r="F64" s="770" t="s">
        <v>2588</v>
      </c>
      <c r="G64" s="770" t="s">
        <v>2589</v>
      </c>
      <c r="H64" s="37"/>
      <c r="I64" s="37"/>
      <c r="J64" s="76"/>
      <c r="K64" s="175"/>
      <c r="L64" s="175"/>
      <c r="M64" s="175"/>
      <c r="N64" s="175"/>
      <c r="O64" s="175" t="s">
        <v>23</v>
      </c>
      <c r="P64" s="175"/>
      <c r="Q64" s="175"/>
      <c r="R64" s="605"/>
      <c r="S64" s="752"/>
      <c r="T64" s="35"/>
      <c r="V64" s="35"/>
      <c r="W64" s="35"/>
      <c r="X64" s="35"/>
      <c r="Y64" s="35"/>
      <c r="Z64" s="35"/>
      <c r="AA64" s="35"/>
      <c r="AB64" s="35"/>
      <c r="AC64" s="35"/>
      <c r="AD64" s="35"/>
      <c r="AE64" s="35"/>
      <c r="AF64" s="35"/>
    </row>
    <row r="65" spans="1:32" ht="42">
      <c r="A65" s="59" t="s">
        <v>2590</v>
      </c>
      <c r="B65" s="37"/>
      <c r="C65" s="514" t="s">
        <v>16</v>
      </c>
      <c r="D65" s="770" t="s">
        <v>2591</v>
      </c>
      <c r="E65" s="121" t="s">
        <v>2592</v>
      </c>
      <c r="F65" s="770"/>
      <c r="G65" s="770"/>
      <c r="H65" s="37"/>
      <c r="I65" s="37"/>
      <c r="J65" s="76"/>
      <c r="K65" s="175"/>
      <c r="L65" s="175"/>
      <c r="M65" s="175"/>
      <c r="N65" s="175"/>
      <c r="O65" s="175" t="s">
        <v>23</v>
      </c>
      <c r="P65" s="175"/>
      <c r="Q65" s="175"/>
      <c r="R65" s="605"/>
      <c r="S65" s="752"/>
      <c r="T65" s="35"/>
      <c r="V65" s="35"/>
      <c r="W65" s="35"/>
      <c r="X65" s="35"/>
      <c r="Y65" s="35"/>
      <c r="Z65" s="35"/>
      <c r="AA65" s="35"/>
      <c r="AB65" s="35"/>
      <c r="AC65" s="35"/>
      <c r="AD65" s="35"/>
      <c r="AE65" s="35"/>
      <c r="AF65" s="35"/>
    </row>
    <row r="66" spans="1:32" ht="70">
      <c r="A66" s="59" t="s">
        <v>2593</v>
      </c>
      <c r="B66" s="37"/>
      <c r="C66" s="514" t="s">
        <v>16</v>
      </c>
      <c r="D66" s="770" t="s">
        <v>2594</v>
      </c>
      <c r="E66" s="121" t="s">
        <v>2595</v>
      </c>
      <c r="F66" s="770" t="s">
        <v>2596</v>
      </c>
      <c r="G66" s="770" t="s">
        <v>2597</v>
      </c>
      <c r="H66" s="37"/>
      <c r="I66" s="37"/>
      <c r="J66" s="76"/>
      <c r="K66" s="175"/>
      <c r="L66" s="175"/>
      <c r="M66" s="175"/>
      <c r="N66" s="175"/>
      <c r="O66" s="175" t="s">
        <v>23</v>
      </c>
      <c r="P66" s="175"/>
      <c r="Q66" s="175"/>
      <c r="R66" s="605"/>
      <c r="S66" s="752"/>
      <c r="T66" s="35"/>
      <c r="V66" s="35"/>
      <c r="W66" s="35"/>
      <c r="X66" s="35"/>
      <c r="Y66" s="35"/>
      <c r="Z66" s="35"/>
      <c r="AA66" s="35"/>
      <c r="AB66" s="35"/>
      <c r="AC66" s="35"/>
      <c r="AD66" s="35"/>
      <c r="AE66" s="35"/>
      <c r="AF66" s="35"/>
    </row>
    <row r="67" spans="1:32" ht="70">
      <c r="A67" s="59" t="s">
        <v>2598</v>
      </c>
      <c r="B67" s="37"/>
      <c r="C67" s="514" t="s">
        <v>16</v>
      </c>
      <c r="D67" s="770" t="s">
        <v>2599</v>
      </c>
      <c r="E67" s="121" t="s">
        <v>2600</v>
      </c>
      <c r="F67" s="770" t="s">
        <v>2601</v>
      </c>
      <c r="G67" s="770" t="s">
        <v>2602</v>
      </c>
      <c r="H67" s="37"/>
      <c r="I67" s="37"/>
      <c r="J67" s="76"/>
      <c r="K67" s="175"/>
      <c r="L67" s="175"/>
      <c r="M67" s="175"/>
      <c r="N67" s="175"/>
      <c r="O67" s="175"/>
      <c r="P67" s="175" t="s">
        <v>64</v>
      </c>
      <c r="Q67" s="175" t="s">
        <v>23</v>
      </c>
      <c r="R67" s="605"/>
      <c r="S67" s="168" t="s">
        <v>3265</v>
      </c>
      <c r="T67" s="35"/>
      <c r="V67" s="35"/>
      <c r="W67" s="35"/>
      <c r="X67" s="35"/>
      <c r="Y67" s="35"/>
      <c r="Z67" s="35"/>
      <c r="AA67" s="35"/>
      <c r="AB67" s="35"/>
      <c r="AC67" s="35"/>
      <c r="AD67" s="35"/>
      <c r="AE67" s="35"/>
      <c r="AF67" s="35"/>
    </row>
    <row r="68" spans="1:32">
      <c r="A68" s="59"/>
      <c r="B68" s="37"/>
      <c r="C68" s="37"/>
      <c r="D68" s="770"/>
      <c r="E68" s="121"/>
      <c r="F68" s="770"/>
      <c r="G68" s="770"/>
      <c r="H68" s="37"/>
      <c r="I68" s="37"/>
      <c r="J68" s="76"/>
      <c r="K68" s="175"/>
      <c r="L68" s="175"/>
      <c r="M68" s="175"/>
      <c r="N68" s="175"/>
      <c r="O68" s="175"/>
      <c r="P68" s="175"/>
      <c r="Q68" s="175"/>
      <c r="R68" s="605"/>
      <c r="S68" s="752"/>
      <c r="T68" s="35"/>
      <c r="V68" s="35"/>
      <c r="W68" s="35"/>
      <c r="X68" s="35"/>
      <c r="Y68" s="35"/>
      <c r="Z68" s="35"/>
      <c r="AA68" s="35"/>
      <c r="AB68" s="35"/>
      <c r="AC68" s="35"/>
      <c r="AD68" s="35"/>
      <c r="AE68" s="35"/>
      <c r="AF68" s="35"/>
    </row>
    <row r="69" spans="1:32">
      <c r="A69" s="59"/>
      <c r="B69" s="37"/>
      <c r="C69" s="37"/>
      <c r="D69" s="770"/>
      <c r="E69" s="121"/>
      <c r="F69" s="770"/>
      <c r="G69" s="770"/>
      <c r="H69" s="37"/>
      <c r="I69" s="37"/>
      <c r="J69" s="76"/>
      <c r="K69" s="175"/>
      <c r="L69" s="175"/>
      <c r="M69" s="175"/>
      <c r="N69" s="175"/>
      <c r="O69" s="175"/>
      <c r="P69" s="175"/>
      <c r="Q69" s="175"/>
      <c r="R69" s="605"/>
      <c r="S69" s="752"/>
      <c r="T69" s="35"/>
      <c r="V69" s="35"/>
      <c r="W69" s="35"/>
      <c r="X69" s="35"/>
      <c r="Y69" s="35"/>
      <c r="Z69" s="35"/>
      <c r="AA69" s="35"/>
      <c r="AB69" s="35"/>
      <c r="AC69" s="35"/>
      <c r="AD69" s="35"/>
      <c r="AE69" s="35"/>
      <c r="AF69" s="35"/>
    </row>
    <row r="70" spans="1:32">
      <c r="A70" s="59"/>
      <c r="B70" s="37"/>
      <c r="C70" s="37"/>
      <c r="D70" s="770"/>
      <c r="E70" s="120"/>
      <c r="F70" s="770"/>
      <c r="G70" s="770"/>
      <c r="H70" s="37"/>
      <c r="I70" s="37"/>
      <c r="J70" s="76"/>
      <c r="K70" s="175"/>
      <c r="L70" s="175"/>
      <c r="M70" s="175"/>
      <c r="N70" s="175"/>
      <c r="O70" s="175"/>
      <c r="P70" s="175"/>
      <c r="Q70" s="175"/>
      <c r="R70" s="605"/>
      <c r="S70" s="752"/>
      <c r="T70" s="35"/>
      <c r="V70" s="35"/>
      <c r="W70" s="35"/>
      <c r="X70" s="35"/>
      <c r="Y70" s="35"/>
      <c r="Z70" s="35"/>
      <c r="AA70" s="35"/>
      <c r="AB70" s="35"/>
      <c r="AC70" s="35"/>
      <c r="AD70" s="35"/>
      <c r="AE70" s="35"/>
      <c r="AF70" s="35"/>
    </row>
    <row r="71" spans="1:32" ht="126">
      <c r="A71" s="59" t="s">
        <v>2603</v>
      </c>
      <c r="B71" s="37"/>
      <c r="C71" s="514" t="s">
        <v>16</v>
      </c>
      <c r="D71" s="580" t="s">
        <v>2604</v>
      </c>
      <c r="E71" s="128" t="s">
        <v>2605</v>
      </c>
      <c r="F71" s="580" t="s">
        <v>2606</v>
      </c>
      <c r="G71" s="580" t="s">
        <v>2607</v>
      </c>
      <c r="H71" s="37"/>
      <c r="I71" s="37"/>
      <c r="J71" s="84"/>
      <c r="K71" s="175"/>
      <c r="L71" s="175"/>
      <c r="M71" s="175"/>
      <c r="N71" s="175" t="s">
        <v>23</v>
      </c>
      <c r="O71" s="175"/>
      <c r="P71" s="175"/>
      <c r="Q71" s="175"/>
      <c r="R71" s="220"/>
      <c r="S71" s="774"/>
      <c r="T71" s="213"/>
      <c r="U71" s="213"/>
      <c r="V71" s="213"/>
      <c r="W71" s="213"/>
      <c r="X71" s="213"/>
      <c r="Y71" s="213"/>
      <c r="Z71" s="213"/>
      <c r="AA71" s="213"/>
      <c r="AB71" s="213"/>
      <c r="AC71" s="213"/>
      <c r="AD71" s="213"/>
      <c r="AE71" s="213"/>
      <c r="AF71" s="213"/>
    </row>
    <row r="72" spans="1:32" ht="30.75" customHeight="1">
      <c r="A72" s="59" t="s">
        <v>2608</v>
      </c>
      <c r="B72" s="37"/>
      <c r="C72" s="514" t="s">
        <v>16</v>
      </c>
      <c r="D72" s="510" t="s">
        <v>2609</v>
      </c>
      <c r="E72" s="1039" t="s">
        <v>2610</v>
      </c>
      <c r="F72" s="128" t="s">
        <v>2611</v>
      </c>
      <c r="G72" s="580"/>
      <c r="H72" s="37"/>
      <c r="I72" s="212"/>
      <c r="J72" s="777"/>
      <c r="K72" s="778"/>
      <c r="L72" s="364"/>
      <c r="M72" s="175"/>
      <c r="N72" s="175" t="s">
        <v>23</v>
      </c>
      <c r="O72" s="175"/>
      <c r="P72" s="175"/>
      <c r="Q72" s="175"/>
      <c r="R72" s="220"/>
      <c r="S72" s="774"/>
      <c r="T72" s="213"/>
      <c r="U72" s="213"/>
      <c r="V72" s="213"/>
      <c r="W72" s="213"/>
      <c r="X72" s="213"/>
      <c r="Y72" s="213"/>
      <c r="Z72" s="213"/>
      <c r="AA72" s="213"/>
      <c r="AB72" s="213"/>
      <c r="AC72" s="213"/>
      <c r="AD72" s="213"/>
      <c r="AE72" s="213"/>
      <c r="AF72" s="213"/>
    </row>
    <row r="73" spans="1:32" ht="184.5" customHeight="1">
      <c r="A73" s="59" t="s">
        <v>2612</v>
      </c>
      <c r="B73" s="37"/>
      <c r="C73" s="514" t="s">
        <v>16</v>
      </c>
      <c r="D73" s="510" t="s">
        <v>2613</v>
      </c>
      <c r="E73" s="1040"/>
      <c r="F73" s="128" t="s">
        <v>2614</v>
      </c>
      <c r="G73" s="580"/>
      <c r="H73" s="37"/>
      <c r="I73" s="212"/>
      <c r="J73" s="777"/>
      <c r="K73" s="778"/>
      <c r="L73" s="364"/>
      <c r="M73" s="175"/>
      <c r="N73" s="175" t="s">
        <v>23</v>
      </c>
      <c r="O73" s="175"/>
      <c r="P73" s="175"/>
      <c r="Q73" s="175"/>
      <c r="R73" s="220"/>
      <c r="S73" s="774"/>
      <c r="T73" s="213"/>
      <c r="U73" s="213"/>
      <c r="V73" s="213"/>
      <c r="W73" s="213"/>
      <c r="X73" s="213"/>
      <c r="Y73" s="213"/>
      <c r="Z73" s="213"/>
      <c r="AA73" s="213"/>
      <c r="AB73" s="213"/>
      <c r="AC73" s="213"/>
      <c r="AD73" s="213"/>
      <c r="AE73" s="213"/>
      <c r="AF73" s="213"/>
    </row>
    <row r="74" spans="1:32" ht="184.5" customHeight="1">
      <c r="A74" s="59" t="s">
        <v>2615</v>
      </c>
      <c r="B74" s="37"/>
      <c r="C74" s="514" t="s">
        <v>16</v>
      </c>
      <c r="D74" s="510" t="s">
        <v>2616</v>
      </c>
      <c r="E74" s="1040"/>
      <c r="F74" s="128" t="s">
        <v>2617</v>
      </c>
      <c r="G74" s="580"/>
      <c r="H74" s="37"/>
      <c r="I74" s="212"/>
      <c r="J74" s="777"/>
      <c r="K74" s="778"/>
      <c r="L74" s="364"/>
      <c r="M74" s="175"/>
      <c r="N74" s="175" t="s">
        <v>23</v>
      </c>
      <c r="O74" s="175"/>
      <c r="P74" s="175"/>
      <c r="Q74" s="175"/>
      <c r="R74" s="220"/>
      <c r="S74" s="774"/>
      <c r="T74" s="213"/>
      <c r="U74" s="213"/>
      <c r="V74" s="213"/>
      <c r="W74" s="213"/>
      <c r="X74" s="213"/>
      <c r="Y74" s="213"/>
      <c r="Z74" s="213"/>
      <c r="AA74" s="213"/>
      <c r="AB74" s="213"/>
      <c r="AC74" s="213"/>
      <c r="AD74" s="213"/>
      <c r="AE74" s="213"/>
      <c r="AF74" s="213"/>
    </row>
    <row r="75" spans="1:32" ht="184.5" customHeight="1">
      <c r="A75" s="59" t="s">
        <v>2618</v>
      </c>
      <c r="B75" s="37"/>
      <c r="C75" s="514" t="s">
        <v>16</v>
      </c>
      <c r="D75" s="510" t="s">
        <v>2619</v>
      </c>
      <c r="E75" s="1040"/>
      <c r="F75" s="128" t="s">
        <v>2620</v>
      </c>
      <c r="G75" s="580"/>
      <c r="H75" s="37"/>
      <c r="I75" s="212"/>
      <c r="J75" s="777"/>
      <c r="K75" s="778"/>
      <c r="L75" s="364"/>
      <c r="M75" s="175"/>
      <c r="N75" s="175" t="s">
        <v>23</v>
      </c>
      <c r="O75" s="175"/>
      <c r="P75" s="175"/>
      <c r="Q75" s="175"/>
      <c r="R75" s="220"/>
      <c r="S75" s="774"/>
      <c r="T75" s="213"/>
      <c r="U75" s="213"/>
      <c r="V75" s="213"/>
      <c r="W75" s="213"/>
      <c r="X75" s="213"/>
      <c r="Y75" s="213"/>
      <c r="Z75" s="213"/>
      <c r="AA75" s="213"/>
      <c r="AB75" s="213"/>
      <c r="AC75" s="213"/>
      <c r="AD75" s="213"/>
      <c r="AE75" s="213"/>
      <c r="AF75" s="213"/>
    </row>
    <row r="76" spans="1:32" ht="153.75" customHeight="1">
      <c r="A76" s="59" t="s">
        <v>2621</v>
      </c>
      <c r="B76" s="37"/>
      <c r="C76" s="514" t="s">
        <v>16</v>
      </c>
      <c r="D76" s="510" t="s">
        <v>2622</v>
      </c>
      <c r="E76" s="1040"/>
      <c r="F76" s="128" t="s">
        <v>2623</v>
      </c>
      <c r="G76" s="580"/>
      <c r="H76" s="37"/>
      <c r="I76" s="212"/>
      <c r="J76" s="777"/>
      <c r="K76" s="778"/>
      <c r="L76" s="364"/>
      <c r="M76" s="175"/>
      <c r="N76" s="175" t="s">
        <v>23</v>
      </c>
      <c r="O76" s="175"/>
      <c r="P76" s="175"/>
      <c r="Q76" s="175"/>
      <c r="R76" s="220"/>
      <c r="S76" s="774"/>
      <c r="T76" s="213"/>
      <c r="U76" s="213"/>
      <c r="V76" s="213"/>
      <c r="W76" s="213"/>
      <c r="X76" s="213"/>
      <c r="Y76" s="213"/>
      <c r="Z76" s="213"/>
      <c r="AA76" s="213"/>
      <c r="AB76" s="213"/>
      <c r="AC76" s="213"/>
      <c r="AD76" s="213"/>
      <c r="AE76" s="213"/>
      <c r="AF76" s="213"/>
    </row>
    <row r="77" spans="1:32" ht="56">
      <c r="A77" s="59" t="s">
        <v>2624</v>
      </c>
      <c r="B77" s="37"/>
      <c r="C77" s="514" t="s">
        <v>16</v>
      </c>
      <c r="D77" s="580" t="s">
        <v>2625</v>
      </c>
      <c r="E77" s="1041" t="s">
        <v>2626</v>
      </c>
      <c r="F77" s="580" t="s">
        <v>2627</v>
      </c>
      <c r="G77" s="580"/>
      <c r="H77" s="37"/>
      <c r="I77" s="37"/>
      <c r="J77" s="779"/>
      <c r="K77" s="175"/>
      <c r="L77" s="175"/>
      <c r="M77" s="175"/>
      <c r="N77" s="175" t="s">
        <v>23</v>
      </c>
      <c r="O77" s="175"/>
      <c r="P77" s="175"/>
      <c r="Q77" s="175"/>
      <c r="R77" s="220"/>
      <c r="S77" s="168"/>
      <c r="T77" s="213"/>
      <c r="U77" s="600"/>
      <c r="V77" s="213"/>
      <c r="W77" s="213"/>
      <c r="X77" s="213"/>
      <c r="Y77" s="213"/>
      <c r="Z77" s="213"/>
      <c r="AA77" s="213"/>
      <c r="AB77" s="213"/>
      <c r="AC77" s="213"/>
      <c r="AD77" s="213"/>
      <c r="AE77" s="213"/>
      <c r="AF77" s="213"/>
    </row>
    <row r="78" spans="1:32" ht="30.75" customHeight="1">
      <c r="A78" s="59" t="s">
        <v>2628</v>
      </c>
      <c r="B78" s="473"/>
      <c r="C78" s="514" t="s">
        <v>16</v>
      </c>
      <c r="D78" s="580" t="s">
        <v>2629</v>
      </c>
      <c r="E78" s="1042"/>
      <c r="F78" s="580" t="s">
        <v>2630</v>
      </c>
      <c r="G78" s="580"/>
      <c r="H78" s="37"/>
      <c r="I78" s="37"/>
      <c r="J78" s="780"/>
      <c r="K78" s="175"/>
      <c r="L78" s="175"/>
      <c r="M78" s="175"/>
      <c r="N78" s="175" t="s">
        <v>23</v>
      </c>
      <c r="O78" s="175"/>
      <c r="P78" s="175"/>
      <c r="Q78" s="175"/>
      <c r="R78" s="220"/>
      <c r="S78" s="774"/>
      <c r="T78" s="213"/>
      <c r="U78" s="213"/>
      <c r="V78" s="213"/>
      <c r="W78" s="213"/>
      <c r="X78" s="213"/>
      <c r="Y78" s="213"/>
      <c r="Z78" s="213"/>
      <c r="AA78" s="213"/>
      <c r="AB78" s="213"/>
      <c r="AC78" s="213"/>
      <c r="AD78" s="213"/>
      <c r="AE78" s="213"/>
      <c r="AF78" s="213"/>
    </row>
    <row r="79" spans="1:32" ht="30.75" customHeight="1">
      <c r="A79" s="59" t="s">
        <v>2631</v>
      </c>
      <c r="B79" s="473"/>
      <c r="C79" s="514" t="s">
        <v>16</v>
      </c>
      <c r="D79" s="580" t="s">
        <v>2632</v>
      </c>
      <c r="E79" s="1042"/>
      <c r="F79" s="580" t="s">
        <v>2633</v>
      </c>
      <c r="G79" s="580"/>
      <c r="H79" s="37"/>
      <c r="I79" s="37"/>
      <c r="J79" s="781"/>
      <c r="K79" s="175"/>
      <c r="L79" s="175"/>
      <c r="M79" s="175"/>
      <c r="N79" s="175" t="s">
        <v>23</v>
      </c>
      <c r="O79" s="175"/>
      <c r="P79" s="175"/>
      <c r="Q79" s="175"/>
      <c r="R79" s="220"/>
      <c r="S79" s="774"/>
      <c r="T79" s="213"/>
      <c r="U79" s="213"/>
      <c r="V79" s="213"/>
      <c r="W79" s="213"/>
      <c r="X79" s="213"/>
      <c r="Y79" s="213"/>
      <c r="Z79" s="213"/>
      <c r="AA79" s="213"/>
      <c r="AB79" s="213"/>
      <c r="AC79" s="213"/>
      <c r="AD79" s="213"/>
      <c r="AE79" s="213"/>
      <c r="AF79" s="213"/>
    </row>
    <row r="80" spans="1:32" ht="30.75" customHeight="1">
      <c r="A80" s="59" t="s">
        <v>2634</v>
      </c>
      <c r="B80" s="473"/>
      <c r="C80" s="514" t="s">
        <v>16</v>
      </c>
      <c r="D80" s="580" t="s">
        <v>2635</v>
      </c>
      <c r="E80" s="1042"/>
      <c r="F80" s="580" t="s">
        <v>2636</v>
      </c>
      <c r="G80" s="580"/>
      <c r="H80" s="37"/>
      <c r="I80" s="37"/>
      <c r="J80" s="781"/>
      <c r="K80" s="175"/>
      <c r="L80" s="175"/>
      <c r="M80" s="175"/>
      <c r="N80" s="175" t="s">
        <v>23</v>
      </c>
      <c r="O80" s="175"/>
      <c r="P80" s="175"/>
      <c r="Q80" s="175"/>
      <c r="R80" s="220"/>
      <c r="S80" s="774"/>
      <c r="T80" s="213"/>
      <c r="U80" s="213"/>
      <c r="V80" s="213"/>
      <c r="W80" s="213"/>
      <c r="X80" s="213"/>
      <c r="Y80" s="213"/>
      <c r="Z80" s="213"/>
      <c r="AA80" s="213"/>
      <c r="AB80" s="213"/>
      <c r="AC80" s="213"/>
      <c r="AD80" s="213"/>
      <c r="AE80" s="213"/>
      <c r="AF80" s="213"/>
    </row>
    <row r="81" spans="1:32" ht="30.75" customHeight="1">
      <c r="A81" s="59" t="s">
        <v>2637</v>
      </c>
      <c r="B81" s="473"/>
      <c r="C81" s="514" t="s">
        <v>16</v>
      </c>
      <c r="D81" s="580" t="s">
        <v>2638</v>
      </c>
      <c r="E81" s="1042"/>
      <c r="F81" s="580" t="s">
        <v>2639</v>
      </c>
      <c r="G81" s="580"/>
      <c r="H81" s="37"/>
      <c r="I81" s="37"/>
      <c r="J81" s="781"/>
      <c r="K81" s="175"/>
      <c r="L81" s="175"/>
      <c r="M81" s="175"/>
      <c r="N81" s="175" t="s">
        <v>23</v>
      </c>
      <c r="O81" s="175"/>
      <c r="P81" s="175"/>
      <c r="Q81" s="175"/>
      <c r="R81" s="220"/>
      <c r="S81" s="774"/>
      <c r="T81" s="213"/>
      <c r="U81" s="213"/>
      <c r="V81" s="213"/>
      <c r="W81" s="213"/>
      <c r="X81" s="213"/>
      <c r="Y81" s="213"/>
      <c r="Z81" s="213"/>
      <c r="AA81" s="213"/>
      <c r="AB81" s="213"/>
      <c r="AC81" s="213"/>
      <c r="AD81" s="213"/>
      <c r="AE81" s="213"/>
      <c r="AF81" s="213"/>
    </row>
    <row r="82" spans="1:32" ht="30.75" customHeight="1">
      <c r="A82" s="59" t="s">
        <v>2640</v>
      </c>
      <c r="B82" s="473"/>
      <c r="C82" s="514" t="s">
        <v>16</v>
      </c>
      <c r="D82" s="580" t="s">
        <v>2641</v>
      </c>
      <c r="E82" s="1042"/>
      <c r="F82" s="580" t="s">
        <v>2642</v>
      </c>
      <c r="G82" s="580"/>
      <c r="H82" s="37"/>
      <c r="I82" s="37"/>
      <c r="J82" s="781"/>
      <c r="K82" s="175"/>
      <c r="L82" s="175"/>
      <c r="M82" s="175"/>
      <c r="N82" s="175" t="s">
        <v>23</v>
      </c>
      <c r="O82" s="175"/>
      <c r="P82" s="175"/>
      <c r="Q82" s="175"/>
      <c r="R82" s="220"/>
      <c r="S82" s="774"/>
      <c r="T82" s="213"/>
      <c r="U82" s="213"/>
      <c r="V82" s="213"/>
      <c r="W82" s="213"/>
      <c r="X82" s="213"/>
      <c r="Y82" s="213"/>
      <c r="Z82" s="213"/>
      <c r="AA82" s="213"/>
      <c r="AB82" s="213"/>
      <c r="AC82" s="213"/>
      <c r="AD82" s="213"/>
      <c r="AE82" s="213"/>
      <c r="AF82" s="213"/>
    </row>
    <row r="83" spans="1:32" ht="42">
      <c r="A83" s="59" t="s">
        <v>2643</v>
      </c>
      <c r="B83" s="473"/>
      <c r="C83" s="514" t="s">
        <v>16</v>
      </c>
      <c r="D83" s="580" t="s">
        <v>2644</v>
      </c>
      <c r="E83" s="1042"/>
      <c r="F83" s="580" t="s">
        <v>2645</v>
      </c>
      <c r="G83" s="580"/>
      <c r="H83" s="37"/>
      <c r="I83" s="37"/>
      <c r="J83" s="782"/>
      <c r="K83" s="175"/>
      <c r="L83" s="175"/>
      <c r="M83" s="175"/>
      <c r="N83" s="175" t="s">
        <v>23</v>
      </c>
      <c r="O83" s="175"/>
      <c r="P83" s="175"/>
      <c r="Q83" s="175"/>
      <c r="R83" s="220" t="s">
        <v>2646</v>
      </c>
      <c r="S83" s="774"/>
      <c r="T83" s="213"/>
      <c r="U83" s="213"/>
      <c r="V83" s="213"/>
      <c r="W83" s="213"/>
      <c r="X83" s="213"/>
      <c r="Y83" s="213"/>
      <c r="Z83" s="213"/>
      <c r="AA83" s="213"/>
      <c r="AB83" s="213"/>
      <c r="AC83" s="213"/>
      <c r="AD83" s="213"/>
      <c r="AE83" s="213"/>
      <c r="AF83" s="213"/>
    </row>
    <row r="84" spans="1:32" ht="61.5" customHeight="1">
      <c r="A84" s="59" t="s">
        <v>2647</v>
      </c>
      <c r="B84" s="37"/>
      <c r="C84" s="514" t="s">
        <v>16</v>
      </c>
      <c r="D84" s="580" t="s">
        <v>2648</v>
      </c>
      <c r="E84" s="37"/>
      <c r="F84" s="580" t="s">
        <v>2649</v>
      </c>
      <c r="G84" s="580"/>
      <c r="H84" s="37"/>
      <c r="I84" s="37"/>
      <c r="J84" s="780"/>
      <c r="K84" s="175"/>
      <c r="L84" s="175"/>
      <c r="M84" s="175"/>
      <c r="N84" s="175" t="s">
        <v>23</v>
      </c>
      <c r="O84" s="175"/>
      <c r="P84" s="175"/>
      <c r="Q84" s="175"/>
      <c r="R84" s="220"/>
      <c r="S84" s="774"/>
      <c r="T84" s="213"/>
      <c r="U84" s="213"/>
      <c r="V84" s="213"/>
      <c r="W84" s="213"/>
      <c r="X84" s="213"/>
      <c r="Y84" s="213"/>
      <c r="Z84" s="213"/>
      <c r="AA84" s="213"/>
      <c r="AB84" s="213"/>
      <c r="AC84" s="213"/>
      <c r="AD84" s="213"/>
      <c r="AE84" s="213"/>
      <c r="AF84" s="213"/>
    </row>
    <row r="85" spans="1:32" ht="70">
      <c r="A85" s="59" t="s">
        <v>2650</v>
      </c>
      <c r="B85" s="37"/>
      <c r="C85" s="514" t="s">
        <v>16</v>
      </c>
      <c r="D85" s="580" t="s">
        <v>2651</v>
      </c>
      <c r="E85" s="37"/>
      <c r="F85" s="580" t="s">
        <v>2652</v>
      </c>
      <c r="G85" s="580"/>
      <c r="H85" s="37"/>
      <c r="I85" s="37"/>
      <c r="J85" s="781"/>
      <c r="K85" s="175"/>
      <c r="L85" s="175"/>
      <c r="M85" s="175"/>
      <c r="N85" s="175" t="s">
        <v>23</v>
      </c>
      <c r="O85" s="175"/>
      <c r="P85" s="175"/>
      <c r="Q85" s="175"/>
      <c r="R85" s="220" t="s">
        <v>2653</v>
      </c>
      <c r="S85" s="168" t="s">
        <v>3266</v>
      </c>
      <c r="T85" s="213"/>
      <c r="U85" s="213"/>
      <c r="V85" s="213"/>
      <c r="W85" s="213"/>
      <c r="X85" s="213"/>
      <c r="Y85" s="213"/>
      <c r="Z85" s="213"/>
      <c r="AA85" s="213"/>
      <c r="AB85" s="213"/>
      <c r="AC85" s="213"/>
      <c r="AD85" s="213"/>
      <c r="AE85" s="213"/>
      <c r="AF85" s="213"/>
    </row>
    <row r="86" spans="1:32" ht="61.5" customHeight="1">
      <c r="A86" s="59" t="s">
        <v>2654</v>
      </c>
      <c r="B86" s="37"/>
      <c r="C86" s="514" t="s">
        <v>16</v>
      </c>
      <c r="D86" s="580" t="s">
        <v>2655</v>
      </c>
      <c r="E86" s="37"/>
      <c r="F86" s="580" t="s">
        <v>2656</v>
      </c>
      <c r="G86" s="580"/>
      <c r="H86" s="37"/>
      <c r="I86" s="37"/>
      <c r="J86" s="781"/>
      <c r="K86" s="175"/>
      <c r="L86" s="175"/>
      <c r="M86" s="175"/>
      <c r="N86" s="175" t="s">
        <v>23</v>
      </c>
      <c r="O86" s="175"/>
      <c r="P86" s="175"/>
      <c r="Q86" s="175"/>
      <c r="R86" s="220"/>
      <c r="S86" s="774"/>
      <c r="T86" s="213"/>
      <c r="U86" s="213"/>
      <c r="V86" s="213"/>
      <c r="W86" s="213"/>
      <c r="X86" s="213"/>
      <c r="Y86" s="213"/>
      <c r="Z86" s="213"/>
      <c r="AA86" s="213"/>
      <c r="AB86" s="213"/>
      <c r="AC86" s="213"/>
      <c r="AD86" s="213"/>
      <c r="AE86" s="213"/>
      <c r="AF86" s="213"/>
    </row>
    <row r="87" spans="1:32" ht="61.5" customHeight="1">
      <c r="A87" s="59" t="s">
        <v>2657</v>
      </c>
      <c r="B87" s="37"/>
      <c r="C87" s="514" t="s">
        <v>16</v>
      </c>
      <c r="D87" s="580" t="s">
        <v>2658</v>
      </c>
      <c r="E87" s="37"/>
      <c r="F87" s="580" t="s">
        <v>2659</v>
      </c>
      <c r="G87" s="580"/>
      <c r="H87" s="37"/>
      <c r="I87" s="37"/>
      <c r="J87" s="781"/>
      <c r="K87" s="175"/>
      <c r="L87" s="175"/>
      <c r="M87" s="175"/>
      <c r="N87" s="175" t="s">
        <v>23</v>
      </c>
      <c r="O87" s="175"/>
      <c r="P87" s="175"/>
      <c r="Q87" s="175"/>
      <c r="R87" s="220"/>
      <c r="S87" s="774"/>
      <c r="T87" s="213"/>
      <c r="U87" s="213"/>
      <c r="V87" s="213"/>
      <c r="W87" s="213"/>
      <c r="X87" s="213"/>
      <c r="Y87" s="213"/>
      <c r="Z87" s="213"/>
      <c r="AA87" s="213"/>
      <c r="AB87" s="213"/>
      <c r="AC87" s="213"/>
      <c r="AD87" s="213"/>
      <c r="AE87" s="213"/>
      <c r="AF87" s="213"/>
    </row>
    <row r="88" spans="1:32" ht="61.5" customHeight="1">
      <c r="A88" s="59" t="s">
        <v>2660</v>
      </c>
      <c r="B88" s="37"/>
      <c r="C88" s="514" t="s">
        <v>16</v>
      </c>
      <c r="D88" s="580" t="s">
        <v>2661</v>
      </c>
      <c r="E88" s="37"/>
      <c r="F88" s="580" t="s">
        <v>2662</v>
      </c>
      <c r="G88" s="580"/>
      <c r="H88" s="37"/>
      <c r="I88" s="37"/>
      <c r="J88" s="781"/>
      <c r="K88" s="175"/>
      <c r="L88" s="175"/>
      <c r="M88" s="175"/>
      <c r="N88" s="175" t="s">
        <v>23</v>
      </c>
      <c r="O88" s="175"/>
      <c r="P88" s="175"/>
      <c r="Q88" s="175"/>
      <c r="R88" s="220"/>
      <c r="S88" s="774"/>
      <c r="T88" s="213"/>
      <c r="U88" s="213"/>
      <c r="V88" s="213"/>
      <c r="W88" s="213"/>
      <c r="X88" s="213"/>
      <c r="Y88" s="213"/>
      <c r="Z88" s="213"/>
      <c r="AA88" s="213"/>
      <c r="AB88" s="213"/>
      <c r="AC88" s="213"/>
      <c r="AD88" s="213"/>
      <c r="AE88" s="213"/>
      <c r="AF88" s="213"/>
    </row>
    <row r="89" spans="1:32" ht="61.5" customHeight="1">
      <c r="A89" s="59" t="s">
        <v>2663</v>
      </c>
      <c r="B89" s="37"/>
      <c r="C89" s="514" t="s">
        <v>16</v>
      </c>
      <c r="D89" s="580" t="s">
        <v>2664</v>
      </c>
      <c r="E89" s="37"/>
      <c r="F89" s="580" t="s">
        <v>2665</v>
      </c>
      <c r="G89" s="580"/>
      <c r="H89" s="37"/>
      <c r="I89" s="37"/>
      <c r="J89" s="782"/>
      <c r="K89" s="175"/>
      <c r="L89" s="175"/>
      <c r="M89" s="175"/>
      <c r="N89" s="175" t="s">
        <v>23</v>
      </c>
      <c r="O89" s="175"/>
      <c r="P89" s="175"/>
      <c r="Q89" s="175"/>
      <c r="R89" s="220"/>
      <c r="S89" s="774"/>
      <c r="T89" s="213"/>
      <c r="U89" s="213"/>
      <c r="V89" s="213"/>
      <c r="W89" s="213"/>
      <c r="X89" s="213"/>
      <c r="Y89" s="213"/>
      <c r="Z89" s="213"/>
      <c r="AA89" s="213"/>
      <c r="AB89" s="213"/>
      <c r="AC89" s="213"/>
      <c r="AD89" s="213"/>
      <c r="AE89" s="213"/>
      <c r="AF89" s="213"/>
    </row>
    <row r="90" spans="1:32" ht="45.75" customHeight="1">
      <c r="A90" s="59" t="s">
        <v>2666</v>
      </c>
      <c r="B90" s="37"/>
      <c r="C90" s="514" t="s">
        <v>16</v>
      </c>
      <c r="D90" s="580" t="s">
        <v>2667</v>
      </c>
      <c r="E90" s="1039" t="s">
        <v>2626</v>
      </c>
      <c r="F90" s="580" t="s">
        <v>2668</v>
      </c>
      <c r="G90" s="580"/>
      <c r="H90" s="37"/>
      <c r="I90" s="37"/>
      <c r="J90" s="780"/>
      <c r="K90" s="175"/>
      <c r="L90" s="175"/>
      <c r="M90" s="175"/>
      <c r="N90" s="175" t="s">
        <v>23</v>
      </c>
      <c r="O90" s="175"/>
      <c r="P90" s="175"/>
      <c r="Q90" s="175"/>
      <c r="R90" s="220"/>
      <c r="S90" s="774"/>
      <c r="T90" s="213"/>
      <c r="U90" s="213"/>
      <c r="V90" s="213"/>
      <c r="W90" s="213"/>
      <c r="X90" s="213"/>
      <c r="Y90" s="213"/>
      <c r="Z90" s="213"/>
      <c r="AA90" s="213"/>
      <c r="AB90" s="213"/>
      <c r="AC90" s="213"/>
      <c r="AD90" s="213"/>
      <c r="AE90" s="213"/>
      <c r="AF90" s="213"/>
    </row>
    <row r="91" spans="1:32" ht="45.75" customHeight="1">
      <c r="A91" s="59" t="s">
        <v>2669</v>
      </c>
      <c r="B91" s="37"/>
      <c r="C91" s="514" t="s">
        <v>16</v>
      </c>
      <c r="D91" s="580" t="s">
        <v>2670</v>
      </c>
      <c r="E91" s="1040"/>
      <c r="F91" s="580" t="s">
        <v>2671</v>
      </c>
      <c r="G91" s="580"/>
      <c r="H91" s="37"/>
      <c r="I91" s="37"/>
      <c r="J91" s="781"/>
      <c r="K91" s="175"/>
      <c r="L91" s="175"/>
      <c r="M91" s="175"/>
      <c r="N91" s="175" t="s">
        <v>23</v>
      </c>
      <c r="O91" s="175"/>
      <c r="P91" s="175"/>
      <c r="Q91" s="175"/>
      <c r="R91" s="220"/>
      <c r="S91" s="774"/>
      <c r="T91" s="213"/>
      <c r="U91" s="213"/>
      <c r="V91" s="213"/>
      <c r="W91" s="213"/>
      <c r="X91" s="213"/>
      <c r="Y91" s="213"/>
      <c r="Z91" s="213"/>
      <c r="AA91" s="213"/>
      <c r="AB91" s="213"/>
      <c r="AC91" s="213"/>
      <c r="AD91" s="213"/>
      <c r="AE91" s="213"/>
      <c r="AF91" s="213"/>
    </row>
    <row r="92" spans="1:32" ht="45.75" customHeight="1">
      <c r="A92" s="59" t="s">
        <v>2672</v>
      </c>
      <c r="B92" s="37"/>
      <c r="C92" s="514" t="s">
        <v>16</v>
      </c>
      <c r="D92" s="580" t="s">
        <v>2673</v>
      </c>
      <c r="E92" s="1040"/>
      <c r="F92" s="580" t="s">
        <v>2674</v>
      </c>
      <c r="G92" s="580"/>
      <c r="H92" s="37"/>
      <c r="I92" s="37"/>
      <c r="J92" s="781"/>
      <c r="K92" s="175"/>
      <c r="L92" s="175"/>
      <c r="M92" s="175"/>
      <c r="N92" s="175" t="s">
        <v>23</v>
      </c>
      <c r="O92" s="175"/>
      <c r="P92" s="175"/>
      <c r="Q92" s="175"/>
      <c r="R92" s="220"/>
      <c r="S92" s="774"/>
      <c r="T92" s="213"/>
      <c r="U92" s="213"/>
      <c r="V92" s="213"/>
      <c r="W92" s="213"/>
      <c r="X92" s="213"/>
      <c r="Y92" s="213"/>
      <c r="Z92" s="213"/>
      <c r="AA92" s="213"/>
      <c r="AB92" s="213"/>
      <c r="AC92" s="213"/>
      <c r="AD92" s="213"/>
      <c r="AE92" s="213"/>
      <c r="AF92" s="213"/>
    </row>
    <row r="93" spans="1:32" ht="45.75" customHeight="1">
      <c r="A93" s="59" t="s">
        <v>2675</v>
      </c>
      <c r="B93" s="37"/>
      <c r="C93" s="514" t="s">
        <v>16</v>
      </c>
      <c r="D93" s="580" t="s">
        <v>2676</v>
      </c>
      <c r="E93" s="1040"/>
      <c r="F93" s="580" t="s">
        <v>2677</v>
      </c>
      <c r="G93" s="580"/>
      <c r="H93" s="37"/>
      <c r="I93" s="37"/>
      <c r="J93" s="781"/>
      <c r="K93" s="175"/>
      <c r="L93" s="175"/>
      <c r="M93" s="175"/>
      <c r="N93" s="175" t="s">
        <v>23</v>
      </c>
      <c r="O93" s="175"/>
      <c r="P93" s="175"/>
      <c r="Q93" s="175"/>
      <c r="R93" s="220"/>
      <c r="S93" s="774"/>
      <c r="T93" s="213"/>
      <c r="U93" s="213"/>
      <c r="V93" s="213"/>
      <c r="W93" s="213"/>
      <c r="X93" s="213"/>
      <c r="Y93" s="213"/>
      <c r="Z93" s="213"/>
      <c r="AA93" s="213"/>
      <c r="AB93" s="213"/>
      <c r="AC93" s="213"/>
      <c r="AD93" s="213"/>
      <c r="AE93" s="213"/>
      <c r="AF93" s="213"/>
    </row>
    <row r="94" spans="1:32" ht="45.75" customHeight="1">
      <c r="A94" s="59" t="s">
        <v>2678</v>
      </c>
      <c r="B94" s="37"/>
      <c r="C94" s="514" t="s">
        <v>16</v>
      </c>
      <c r="D94" s="580" t="s">
        <v>2679</v>
      </c>
      <c r="E94" s="1040"/>
      <c r="F94" s="580" t="s">
        <v>2680</v>
      </c>
      <c r="G94" s="580"/>
      <c r="H94" s="37"/>
      <c r="I94" s="37"/>
      <c r="J94" s="781"/>
      <c r="K94" s="175"/>
      <c r="L94" s="175"/>
      <c r="M94" s="175"/>
      <c r="N94" s="175" t="s">
        <v>23</v>
      </c>
      <c r="O94" s="175"/>
      <c r="P94" s="175"/>
      <c r="Q94" s="175"/>
      <c r="R94" s="220"/>
      <c r="S94" s="774"/>
      <c r="T94" s="213"/>
      <c r="U94" s="213"/>
      <c r="V94" s="213"/>
      <c r="W94" s="213"/>
      <c r="X94" s="213"/>
      <c r="Y94" s="213"/>
      <c r="Z94" s="213"/>
      <c r="AA94" s="213"/>
      <c r="AB94" s="213"/>
      <c r="AC94" s="213"/>
      <c r="AD94" s="213"/>
      <c r="AE94" s="213"/>
      <c r="AF94" s="213"/>
    </row>
    <row r="95" spans="1:32" ht="45.75" customHeight="1">
      <c r="A95" s="59" t="s">
        <v>2681</v>
      </c>
      <c r="B95" s="37"/>
      <c r="C95" s="514" t="s">
        <v>16</v>
      </c>
      <c r="D95" s="580" t="s">
        <v>2682</v>
      </c>
      <c r="E95" s="1040"/>
      <c r="F95" s="580" t="s">
        <v>2683</v>
      </c>
      <c r="G95" s="580"/>
      <c r="H95" s="37"/>
      <c r="I95" s="37"/>
      <c r="J95" s="782"/>
      <c r="K95" s="175"/>
      <c r="L95" s="175"/>
      <c r="M95" s="175"/>
      <c r="N95" s="175" t="s">
        <v>23</v>
      </c>
      <c r="O95" s="175"/>
      <c r="P95" s="175"/>
      <c r="Q95" s="175"/>
      <c r="R95" s="220"/>
      <c r="S95" s="774"/>
      <c r="T95" s="213"/>
      <c r="U95" s="213"/>
      <c r="V95" s="213"/>
      <c r="W95" s="213"/>
      <c r="X95" s="213"/>
      <c r="Y95" s="213"/>
      <c r="Z95" s="213"/>
      <c r="AA95" s="213"/>
      <c r="AB95" s="213"/>
      <c r="AC95" s="213"/>
      <c r="AD95" s="213"/>
      <c r="AE95" s="213"/>
      <c r="AF95" s="213"/>
    </row>
    <row r="96" spans="1:32" ht="45.75" customHeight="1">
      <c r="A96" s="59" t="s">
        <v>2684</v>
      </c>
      <c r="B96" s="37"/>
      <c r="C96" s="514" t="s">
        <v>16</v>
      </c>
      <c r="D96" s="580" t="s">
        <v>2685</v>
      </c>
      <c r="E96" s="1043" t="s">
        <v>2686</v>
      </c>
      <c r="F96" s="580" t="s">
        <v>2687</v>
      </c>
      <c r="G96" s="580"/>
      <c r="H96" s="37"/>
      <c r="I96" s="37"/>
      <c r="J96" s="780"/>
      <c r="K96" s="175"/>
      <c r="L96" s="175"/>
      <c r="M96" s="175"/>
      <c r="N96" s="175" t="s">
        <v>23</v>
      </c>
      <c r="O96" s="175"/>
      <c r="P96" s="175"/>
      <c r="Q96" s="175"/>
      <c r="R96" s="220"/>
      <c r="S96" s="774"/>
      <c r="T96" s="213"/>
      <c r="U96" s="213"/>
      <c r="V96" s="213"/>
      <c r="W96" s="213"/>
      <c r="X96" s="213"/>
      <c r="Y96" s="213"/>
      <c r="Z96" s="213"/>
      <c r="AA96" s="213"/>
      <c r="AB96" s="213"/>
      <c r="AC96" s="213"/>
      <c r="AD96" s="213"/>
      <c r="AE96" s="213"/>
      <c r="AF96" s="213"/>
    </row>
    <row r="97" spans="1:32" ht="45.75" customHeight="1">
      <c r="A97" s="59" t="s">
        <v>2688</v>
      </c>
      <c r="B97" s="37"/>
      <c r="C97" s="514" t="s">
        <v>16</v>
      </c>
      <c r="D97" s="580" t="s">
        <v>2689</v>
      </c>
      <c r="E97" s="1040"/>
      <c r="F97" s="580" t="s">
        <v>2690</v>
      </c>
      <c r="G97" s="580"/>
      <c r="H97" s="37"/>
      <c r="I97" s="37"/>
      <c r="J97" s="781"/>
      <c r="K97" s="175"/>
      <c r="L97" s="175"/>
      <c r="M97" s="175"/>
      <c r="N97" s="175" t="s">
        <v>23</v>
      </c>
      <c r="O97" s="175"/>
      <c r="P97" s="175"/>
      <c r="Q97" s="175"/>
      <c r="R97" s="220"/>
      <c r="S97" s="774"/>
      <c r="T97" s="213"/>
      <c r="U97" s="213"/>
      <c r="V97" s="213"/>
      <c r="W97" s="213"/>
      <c r="X97" s="213"/>
      <c r="Y97" s="213"/>
      <c r="Z97" s="213"/>
      <c r="AA97" s="213"/>
      <c r="AB97" s="213"/>
      <c r="AC97" s="213"/>
      <c r="AD97" s="213"/>
      <c r="AE97" s="213"/>
      <c r="AF97" s="213"/>
    </row>
    <row r="98" spans="1:32" ht="45.75" customHeight="1">
      <c r="A98" s="59" t="s">
        <v>2691</v>
      </c>
      <c r="B98" s="37"/>
      <c r="C98" s="514" t="s">
        <v>16</v>
      </c>
      <c r="D98" s="580" t="s">
        <v>2692</v>
      </c>
      <c r="E98" s="1040"/>
      <c r="F98" s="580" t="s">
        <v>2693</v>
      </c>
      <c r="G98" s="580"/>
      <c r="H98" s="37"/>
      <c r="I98" s="37"/>
      <c r="J98" s="781"/>
      <c r="K98" s="175"/>
      <c r="L98" s="175"/>
      <c r="M98" s="175"/>
      <c r="N98" s="175" t="s">
        <v>23</v>
      </c>
      <c r="O98" s="175"/>
      <c r="P98" s="175"/>
      <c r="Q98" s="175"/>
      <c r="R98" s="220"/>
      <c r="S98" s="774"/>
      <c r="T98" s="213"/>
      <c r="U98" s="213"/>
      <c r="V98" s="213"/>
      <c r="W98" s="213"/>
      <c r="X98" s="213"/>
      <c r="Y98" s="213"/>
      <c r="Z98" s="213"/>
      <c r="AA98" s="213"/>
      <c r="AB98" s="213"/>
      <c r="AC98" s="213"/>
      <c r="AD98" s="213"/>
      <c r="AE98" s="213"/>
      <c r="AF98" s="213"/>
    </row>
    <row r="99" spans="1:32" ht="45.75" customHeight="1">
      <c r="A99" s="59" t="s">
        <v>2694</v>
      </c>
      <c r="B99" s="37"/>
      <c r="C99" s="514" t="s">
        <v>16</v>
      </c>
      <c r="D99" s="580" t="s">
        <v>2695</v>
      </c>
      <c r="E99" s="1040"/>
      <c r="F99" s="580" t="s">
        <v>2696</v>
      </c>
      <c r="G99" s="580"/>
      <c r="H99" s="37"/>
      <c r="I99" s="37"/>
      <c r="J99" s="782"/>
      <c r="K99" s="175"/>
      <c r="L99" s="175"/>
      <c r="M99" s="175"/>
      <c r="N99" s="175" t="s">
        <v>23</v>
      </c>
      <c r="O99" s="175"/>
      <c r="P99" s="175"/>
      <c r="Q99" s="175"/>
      <c r="R99" s="220"/>
      <c r="S99" s="774"/>
      <c r="T99" s="213"/>
      <c r="U99" s="213"/>
      <c r="V99" s="213"/>
      <c r="W99" s="213"/>
      <c r="X99" s="213"/>
      <c r="Y99" s="213"/>
      <c r="Z99" s="213"/>
      <c r="AA99" s="213"/>
      <c r="AB99" s="213"/>
      <c r="AC99" s="213"/>
      <c r="AD99" s="213"/>
      <c r="AE99" s="213"/>
      <c r="AF99" s="213"/>
    </row>
    <row r="100" spans="1:32" ht="45.75" customHeight="1">
      <c r="A100" s="59" t="s">
        <v>2697</v>
      </c>
      <c r="B100" s="37"/>
      <c r="C100" s="514" t="s">
        <v>16</v>
      </c>
      <c r="D100" s="580" t="s">
        <v>2698</v>
      </c>
      <c r="E100" s="37"/>
      <c r="F100" s="580" t="s">
        <v>2699</v>
      </c>
      <c r="G100" s="580"/>
      <c r="H100" s="37"/>
      <c r="I100" s="37"/>
      <c r="J100" s="780"/>
      <c r="K100" s="175"/>
      <c r="L100" s="175"/>
      <c r="M100" s="175"/>
      <c r="N100" s="175" t="s">
        <v>23</v>
      </c>
      <c r="O100" s="175"/>
      <c r="P100" s="175"/>
      <c r="Q100" s="175"/>
      <c r="R100" s="220"/>
      <c r="S100" s="774"/>
      <c r="T100" s="213"/>
      <c r="U100" s="213"/>
      <c r="V100" s="213"/>
      <c r="W100" s="213"/>
      <c r="X100" s="213"/>
      <c r="Y100" s="213"/>
      <c r="Z100" s="213"/>
      <c r="AA100" s="213"/>
      <c r="AB100" s="213"/>
      <c r="AC100" s="213"/>
      <c r="AD100" s="213"/>
      <c r="AE100" s="213"/>
      <c r="AF100" s="213"/>
    </row>
    <row r="101" spans="1:32" ht="45.75" customHeight="1">
      <c r="A101" s="59" t="s">
        <v>2700</v>
      </c>
      <c r="B101" s="37"/>
      <c r="C101" s="514" t="s">
        <v>16</v>
      </c>
      <c r="D101" s="580" t="s">
        <v>2701</v>
      </c>
      <c r="E101" s="37"/>
      <c r="F101" s="580" t="s">
        <v>2702</v>
      </c>
      <c r="G101" s="580"/>
      <c r="H101" s="37"/>
      <c r="I101" s="37"/>
      <c r="J101" s="781"/>
      <c r="K101" s="175"/>
      <c r="L101" s="175"/>
      <c r="M101" s="175"/>
      <c r="N101" s="175" t="s">
        <v>23</v>
      </c>
      <c r="O101" s="175"/>
      <c r="P101" s="175"/>
      <c r="Q101" s="175"/>
      <c r="R101" s="220"/>
      <c r="S101" s="774"/>
      <c r="T101" s="213"/>
      <c r="U101" s="213"/>
      <c r="V101" s="213"/>
      <c r="W101" s="213"/>
      <c r="X101" s="213"/>
      <c r="Y101" s="213"/>
      <c r="Z101" s="213"/>
      <c r="AA101" s="213"/>
      <c r="AB101" s="213"/>
      <c r="AC101" s="213"/>
      <c r="AD101" s="213"/>
      <c r="AE101" s="213"/>
      <c r="AF101" s="213"/>
    </row>
    <row r="102" spans="1:32" ht="61.5" customHeight="1">
      <c r="A102" s="59" t="s">
        <v>2703</v>
      </c>
      <c r="B102" s="37"/>
      <c r="C102" s="514" t="s">
        <v>16</v>
      </c>
      <c r="D102" s="580" t="s">
        <v>2704</v>
      </c>
      <c r="E102" s="37"/>
      <c r="F102" s="580" t="s">
        <v>2705</v>
      </c>
      <c r="G102" s="580"/>
      <c r="H102" s="37"/>
      <c r="I102" s="37"/>
      <c r="J102" s="782"/>
      <c r="K102" s="175"/>
      <c r="L102" s="175"/>
      <c r="M102" s="175"/>
      <c r="N102" s="175" t="s">
        <v>23</v>
      </c>
      <c r="O102" s="175"/>
      <c r="P102" s="175"/>
      <c r="Q102" s="175"/>
      <c r="R102" s="220"/>
      <c r="S102" s="774"/>
      <c r="T102" s="213"/>
      <c r="U102" s="213"/>
      <c r="V102" s="213"/>
      <c r="W102" s="213"/>
      <c r="X102" s="213"/>
      <c r="Y102" s="213"/>
      <c r="Z102" s="213"/>
      <c r="AA102" s="213"/>
      <c r="AB102" s="213"/>
      <c r="AC102" s="213"/>
      <c r="AD102" s="213"/>
      <c r="AE102" s="213"/>
      <c r="AF102" s="213"/>
    </row>
    <row r="103" spans="1:32" ht="42">
      <c r="A103" s="59" t="s">
        <v>2706</v>
      </c>
      <c r="B103" s="37"/>
      <c r="C103" s="514" t="s">
        <v>16</v>
      </c>
      <c r="D103" s="580" t="s">
        <v>2707</v>
      </c>
      <c r="E103" s="37"/>
      <c r="F103" s="580" t="s">
        <v>2708</v>
      </c>
      <c r="G103" s="580"/>
      <c r="H103" s="37"/>
      <c r="I103" s="37"/>
      <c r="J103" s="84"/>
      <c r="K103" s="175"/>
      <c r="L103" s="175"/>
      <c r="M103" s="175"/>
      <c r="N103" s="175" t="s">
        <v>23</v>
      </c>
      <c r="O103" s="175"/>
      <c r="P103" s="175"/>
      <c r="Q103" s="175"/>
      <c r="R103" s="220" t="s">
        <v>2709</v>
      </c>
      <c r="S103" s="774"/>
      <c r="T103" s="213"/>
      <c r="U103" s="213"/>
      <c r="V103" s="213"/>
      <c r="W103" s="213"/>
      <c r="X103" s="213"/>
      <c r="Y103" s="213"/>
      <c r="Z103" s="213"/>
      <c r="AA103" s="213"/>
      <c r="AB103" s="213"/>
      <c r="AC103" s="213"/>
      <c r="AD103" s="213"/>
      <c r="AE103" s="213"/>
      <c r="AF103" s="213"/>
    </row>
    <row r="104" spans="1:32" ht="45.75" customHeight="1">
      <c r="A104" s="59" t="s">
        <v>2710</v>
      </c>
      <c r="B104" s="37"/>
      <c r="C104" s="514" t="s">
        <v>16</v>
      </c>
      <c r="D104" s="580" t="s">
        <v>2711</v>
      </c>
      <c r="E104" s="37"/>
      <c r="F104" s="580" t="s">
        <v>2712</v>
      </c>
      <c r="G104" s="580"/>
      <c r="H104" s="37"/>
      <c r="I104" s="37"/>
      <c r="J104" s="780"/>
      <c r="K104" s="175"/>
      <c r="L104" s="175"/>
      <c r="M104" s="175"/>
      <c r="N104" s="175" t="s">
        <v>23</v>
      </c>
      <c r="O104" s="175"/>
      <c r="P104" s="175"/>
      <c r="Q104" s="175"/>
      <c r="R104" s="220"/>
      <c r="S104" s="774"/>
      <c r="T104" s="213"/>
      <c r="U104" s="213"/>
      <c r="V104" s="213"/>
      <c r="W104" s="213"/>
      <c r="X104" s="213"/>
      <c r="Y104" s="213"/>
      <c r="Z104" s="213"/>
      <c r="AA104" s="213"/>
      <c r="AB104" s="213"/>
      <c r="AC104" s="213"/>
      <c r="AD104" s="213"/>
      <c r="AE104" s="213"/>
      <c r="AF104" s="213"/>
    </row>
    <row r="105" spans="1:32" ht="45.75" customHeight="1">
      <c r="A105" s="59" t="s">
        <v>2713</v>
      </c>
      <c r="B105" s="37"/>
      <c r="C105" s="514" t="s">
        <v>16</v>
      </c>
      <c r="D105" s="580" t="s">
        <v>2714</v>
      </c>
      <c r="E105" s="37"/>
      <c r="F105" s="580" t="s">
        <v>2715</v>
      </c>
      <c r="G105" s="580"/>
      <c r="H105" s="37"/>
      <c r="I105" s="37"/>
      <c r="J105" s="781"/>
      <c r="K105" s="175"/>
      <c r="L105" s="175"/>
      <c r="M105" s="175"/>
      <c r="N105" s="175" t="s">
        <v>23</v>
      </c>
      <c r="O105" s="175"/>
      <c r="P105" s="175"/>
      <c r="Q105" s="175"/>
      <c r="R105" s="220"/>
      <c r="S105" s="774"/>
      <c r="T105" s="213"/>
      <c r="U105" s="213"/>
      <c r="V105" s="213"/>
      <c r="W105" s="213"/>
      <c r="X105" s="213"/>
      <c r="Y105" s="213"/>
      <c r="Z105" s="213"/>
      <c r="AA105" s="213"/>
      <c r="AB105" s="213"/>
      <c r="AC105" s="213"/>
      <c r="AD105" s="213"/>
      <c r="AE105" s="213"/>
      <c r="AF105" s="213"/>
    </row>
    <row r="106" spans="1:32" ht="45.75" customHeight="1">
      <c r="A106" s="59" t="s">
        <v>2716</v>
      </c>
      <c r="B106" s="37"/>
      <c r="C106" s="514" t="s">
        <v>16</v>
      </c>
      <c r="D106" s="580" t="s">
        <v>2717</v>
      </c>
      <c r="E106" s="37"/>
      <c r="F106" s="580" t="s">
        <v>2718</v>
      </c>
      <c r="G106" s="580"/>
      <c r="H106" s="37"/>
      <c r="I106" s="37"/>
      <c r="J106" s="781"/>
      <c r="K106" s="175"/>
      <c r="L106" s="175"/>
      <c r="M106" s="175"/>
      <c r="N106" s="175" t="s">
        <v>23</v>
      </c>
      <c r="O106" s="175"/>
      <c r="P106" s="175"/>
      <c r="Q106" s="175"/>
      <c r="R106" s="220"/>
      <c r="S106" s="774"/>
      <c r="T106" s="213"/>
      <c r="U106" s="213"/>
      <c r="V106" s="213"/>
      <c r="W106" s="213"/>
      <c r="X106" s="213"/>
      <c r="Y106" s="213"/>
      <c r="Z106" s="213"/>
      <c r="AA106" s="213"/>
      <c r="AB106" s="213"/>
      <c r="AC106" s="213"/>
      <c r="AD106" s="213"/>
      <c r="AE106" s="213"/>
      <c r="AF106" s="213"/>
    </row>
    <row r="107" spans="1:32" ht="45.75" customHeight="1">
      <c r="A107" s="59" t="s">
        <v>2719</v>
      </c>
      <c r="B107" s="37"/>
      <c r="C107" s="514" t="s">
        <v>16</v>
      </c>
      <c r="D107" s="580" t="s">
        <v>2720</v>
      </c>
      <c r="E107" s="37"/>
      <c r="F107" s="580" t="s">
        <v>2721</v>
      </c>
      <c r="G107" s="580"/>
      <c r="H107" s="37"/>
      <c r="I107" s="37"/>
      <c r="J107" s="781"/>
      <c r="K107" s="175"/>
      <c r="L107" s="175"/>
      <c r="M107" s="175"/>
      <c r="N107" s="175" t="s">
        <v>23</v>
      </c>
      <c r="O107" s="175"/>
      <c r="P107" s="175"/>
      <c r="Q107" s="175"/>
      <c r="R107" s="220"/>
      <c r="S107" s="774"/>
      <c r="T107" s="213"/>
      <c r="U107" s="213"/>
      <c r="V107" s="213"/>
      <c r="W107" s="213"/>
      <c r="X107" s="213"/>
      <c r="Y107" s="213"/>
      <c r="Z107" s="213"/>
      <c r="AA107" s="213"/>
      <c r="AB107" s="213"/>
      <c r="AC107" s="213"/>
      <c r="AD107" s="213"/>
      <c r="AE107" s="213"/>
      <c r="AF107" s="213"/>
    </row>
    <row r="108" spans="1:32" ht="61.5" customHeight="1">
      <c r="A108" s="59" t="s">
        <v>2722</v>
      </c>
      <c r="B108" s="37"/>
      <c r="C108" s="514" t="s">
        <v>16</v>
      </c>
      <c r="D108" s="580" t="s">
        <v>2723</v>
      </c>
      <c r="E108" s="37"/>
      <c r="F108" s="580" t="s">
        <v>2724</v>
      </c>
      <c r="G108" s="580"/>
      <c r="H108" s="37"/>
      <c r="I108" s="37"/>
      <c r="J108" s="782"/>
      <c r="K108" s="175"/>
      <c r="L108" s="175"/>
      <c r="M108" s="175"/>
      <c r="N108" s="175" t="s">
        <v>23</v>
      </c>
      <c r="O108" s="175"/>
      <c r="P108" s="175"/>
      <c r="Q108" s="175"/>
      <c r="R108" s="220"/>
      <c r="S108" s="774"/>
      <c r="T108" s="213"/>
      <c r="U108" s="213"/>
      <c r="V108" s="213"/>
      <c r="W108" s="213"/>
      <c r="X108" s="213"/>
      <c r="Y108" s="213"/>
      <c r="Z108" s="213"/>
      <c r="AA108" s="213"/>
      <c r="AB108" s="213"/>
      <c r="AC108" s="213"/>
      <c r="AD108" s="213"/>
      <c r="AE108" s="213"/>
      <c r="AF108" s="213"/>
    </row>
    <row r="109" spans="1:32" ht="61.5" customHeight="1">
      <c r="A109" s="59" t="s">
        <v>2725</v>
      </c>
      <c r="B109" s="37"/>
      <c r="C109" s="514" t="s">
        <v>16</v>
      </c>
      <c r="D109" s="580" t="s">
        <v>2726</v>
      </c>
      <c r="E109" s="37"/>
      <c r="F109" s="580" t="s">
        <v>2727</v>
      </c>
      <c r="G109" s="580"/>
      <c r="H109" s="37"/>
      <c r="I109" s="37"/>
      <c r="J109" s="780"/>
      <c r="K109" s="175"/>
      <c r="L109" s="175"/>
      <c r="M109" s="175"/>
      <c r="N109" s="175" t="s">
        <v>23</v>
      </c>
      <c r="O109" s="175"/>
      <c r="P109" s="175"/>
      <c r="Q109" s="175"/>
      <c r="R109" s="220"/>
      <c r="S109" s="774"/>
      <c r="T109" s="213"/>
      <c r="U109" s="213"/>
      <c r="V109" s="213"/>
      <c r="W109" s="213"/>
      <c r="X109" s="213"/>
      <c r="Y109" s="213"/>
      <c r="Z109" s="213"/>
      <c r="AA109" s="213"/>
      <c r="AB109" s="213"/>
      <c r="AC109" s="213"/>
      <c r="AD109" s="213"/>
      <c r="AE109" s="213"/>
      <c r="AF109" s="213"/>
    </row>
    <row r="110" spans="1:32" ht="61.5" customHeight="1">
      <c r="A110" s="59" t="s">
        <v>2728</v>
      </c>
      <c r="B110" s="37"/>
      <c r="C110" s="514" t="s">
        <v>16</v>
      </c>
      <c r="D110" s="580" t="s">
        <v>2729</v>
      </c>
      <c r="E110" s="37"/>
      <c r="F110" s="580" t="s">
        <v>2730</v>
      </c>
      <c r="G110" s="580"/>
      <c r="H110" s="37"/>
      <c r="I110" s="37"/>
      <c r="J110" s="781"/>
      <c r="K110" s="175"/>
      <c r="L110" s="175"/>
      <c r="M110" s="175"/>
      <c r="N110" s="175" t="s">
        <v>23</v>
      </c>
      <c r="O110" s="175"/>
      <c r="P110" s="175"/>
      <c r="Q110" s="175"/>
      <c r="R110" s="220"/>
      <c r="S110" s="774"/>
      <c r="T110" s="213"/>
      <c r="U110" s="213"/>
      <c r="V110" s="213"/>
      <c r="W110" s="213"/>
      <c r="X110" s="213"/>
      <c r="Y110" s="213"/>
      <c r="Z110" s="213"/>
      <c r="AA110" s="213"/>
      <c r="AB110" s="213"/>
      <c r="AC110" s="213"/>
      <c r="AD110" s="213"/>
      <c r="AE110" s="213"/>
      <c r="AF110" s="213"/>
    </row>
    <row r="111" spans="1:32" ht="61.5" customHeight="1">
      <c r="A111" s="59" t="s">
        <v>2731</v>
      </c>
      <c r="B111" s="37"/>
      <c r="C111" s="514" t="s">
        <v>16</v>
      </c>
      <c r="D111" s="580" t="s">
        <v>2732</v>
      </c>
      <c r="E111" s="37"/>
      <c r="F111" s="580" t="s">
        <v>2733</v>
      </c>
      <c r="G111" s="580"/>
      <c r="H111" s="37"/>
      <c r="I111" s="37"/>
      <c r="J111" s="781"/>
      <c r="K111" s="175"/>
      <c r="L111" s="175"/>
      <c r="M111" s="175"/>
      <c r="N111" s="175" t="s">
        <v>23</v>
      </c>
      <c r="O111" s="175"/>
      <c r="P111" s="175"/>
      <c r="Q111" s="175"/>
      <c r="R111" s="220"/>
      <c r="S111" s="774"/>
      <c r="T111" s="213"/>
      <c r="U111" s="213"/>
      <c r="V111" s="213"/>
      <c r="W111" s="213"/>
      <c r="X111" s="213"/>
      <c r="Y111" s="213"/>
      <c r="Z111" s="213"/>
      <c r="AA111" s="213"/>
      <c r="AB111" s="213"/>
      <c r="AC111" s="213"/>
      <c r="AD111" s="213"/>
      <c r="AE111" s="213"/>
      <c r="AF111" s="213"/>
    </row>
    <row r="112" spans="1:32" ht="61.5" customHeight="1">
      <c r="A112" s="59" t="s">
        <v>2734</v>
      </c>
      <c r="B112" s="37"/>
      <c r="C112" s="514" t="s">
        <v>16</v>
      </c>
      <c r="D112" s="580" t="s">
        <v>2735</v>
      </c>
      <c r="E112" s="37"/>
      <c r="F112" s="580" t="s">
        <v>2736</v>
      </c>
      <c r="G112" s="580"/>
      <c r="H112" s="37"/>
      <c r="I112" s="37"/>
      <c r="J112" s="782"/>
      <c r="K112" s="175"/>
      <c r="L112" s="175"/>
      <c r="M112" s="175"/>
      <c r="N112" s="175" t="s">
        <v>23</v>
      </c>
      <c r="O112" s="175"/>
      <c r="P112" s="175"/>
      <c r="Q112" s="175"/>
      <c r="R112" s="220"/>
      <c r="S112" s="774"/>
      <c r="T112" s="213"/>
      <c r="U112" s="213"/>
      <c r="V112" s="213"/>
      <c r="W112" s="213"/>
      <c r="X112" s="213"/>
      <c r="Y112" s="213"/>
      <c r="Z112" s="213"/>
      <c r="AA112" s="213"/>
      <c r="AB112" s="213"/>
      <c r="AC112" s="213"/>
      <c r="AD112" s="213"/>
      <c r="AE112" s="213"/>
      <c r="AF112" s="213"/>
    </row>
    <row r="113" spans="1:32" ht="61.5" customHeight="1">
      <c r="A113" s="59" t="s">
        <v>2737</v>
      </c>
      <c r="B113" s="37"/>
      <c r="C113" s="514" t="s">
        <v>16</v>
      </c>
      <c r="D113" s="59" t="s">
        <v>2738</v>
      </c>
      <c r="E113" s="37"/>
      <c r="F113" s="59" t="s">
        <v>2739</v>
      </c>
      <c r="G113" s="59"/>
      <c r="H113" s="37"/>
      <c r="I113" s="37"/>
      <c r="J113" s="780"/>
      <c r="K113" s="175"/>
      <c r="L113" s="175"/>
      <c r="M113" s="175"/>
      <c r="N113" s="175" t="s">
        <v>23</v>
      </c>
      <c r="O113" s="175"/>
      <c r="P113" s="175"/>
      <c r="Q113" s="175"/>
      <c r="R113" s="220"/>
      <c r="S113" s="774"/>
      <c r="T113" s="213"/>
      <c r="U113" s="213"/>
      <c r="V113" s="213"/>
      <c r="W113" s="213"/>
      <c r="X113" s="213"/>
      <c r="Y113" s="213"/>
      <c r="Z113" s="213"/>
      <c r="AA113" s="213"/>
      <c r="AB113" s="213"/>
      <c r="AC113" s="213"/>
      <c r="AD113" s="213"/>
      <c r="AE113" s="213"/>
      <c r="AF113" s="213"/>
    </row>
    <row r="114" spans="1:32" ht="76.5" customHeight="1">
      <c r="A114" s="59" t="s">
        <v>2740</v>
      </c>
      <c r="B114" s="37"/>
      <c r="C114" s="514" t="s">
        <v>16</v>
      </c>
      <c r="D114" s="59" t="s">
        <v>2741</v>
      </c>
      <c r="E114" s="37"/>
      <c r="F114" s="59" t="s">
        <v>2742</v>
      </c>
      <c r="G114" s="59"/>
      <c r="H114" s="37"/>
      <c r="I114" s="37"/>
      <c r="J114" s="781"/>
      <c r="K114" s="175"/>
      <c r="L114" s="175"/>
      <c r="M114" s="175"/>
      <c r="N114" s="175" t="s">
        <v>23</v>
      </c>
      <c r="O114" s="175"/>
      <c r="P114" s="175"/>
      <c r="Q114" s="175"/>
      <c r="R114" s="220"/>
      <c r="S114" s="774"/>
      <c r="T114" s="213"/>
      <c r="U114" s="213"/>
      <c r="V114" s="213"/>
      <c r="W114" s="213"/>
      <c r="X114" s="213"/>
      <c r="Y114" s="213"/>
      <c r="Z114" s="213"/>
      <c r="AA114" s="213"/>
      <c r="AB114" s="213"/>
      <c r="AC114" s="213"/>
      <c r="AD114" s="213"/>
      <c r="AE114" s="213"/>
      <c r="AF114" s="213"/>
    </row>
    <row r="115" spans="1:32" ht="76.5" customHeight="1">
      <c r="A115" s="59" t="s">
        <v>2743</v>
      </c>
      <c r="B115" s="37"/>
      <c r="C115" s="514" t="s">
        <v>16</v>
      </c>
      <c r="D115" s="59" t="s">
        <v>2744</v>
      </c>
      <c r="E115" s="37"/>
      <c r="F115" s="59" t="s">
        <v>2745</v>
      </c>
      <c r="G115" s="59"/>
      <c r="H115" s="37"/>
      <c r="I115" s="37"/>
      <c r="J115" s="782"/>
      <c r="K115" s="175"/>
      <c r="L115" s="175"/>
      <c r="M115" s="175"/>
      <c r="N115" s="175" t="s">
        <v>23</v>
      </c>
      <c r="O115" s="175"/>
      <c r="P115" s="175"/>
      <c r="Q115" s="175"/>
      <c r="R115" s="220"/>
      <c r="S115" s="774"/>
      <c r="T115" s="213"/>
      <c r="U115" s="213"/>
      <c r="V115" s="213"/>
      <c r="W115" s="213"/>
      <c r="X115" s="213"/>
      <c r="Y115" s="213"/>
      <c r="Z115" s="213"/>
      <c r="AA115" s="213"/>
      <c r="AB115" s="213"/>
      <c r="AC115" s="213"/>
      <c r="AD115" s="213"/>
      <c r="AE115" s="213"/>
      <c r="AF115" s="213"/>
    </row>
    <row r="116" spans="1:32" ht="92.25" customHeight="1">
      <c r="A116" s="59" t="s">
        <v>2746</v>
      </c>
      <c r="B116" s="473"/>
      <c r="C116" s="514" t="s">
        <v>16</v>
      </c>
      <c r="D116" s="59" t="s">
        <v>2747</v>
      </c>
      <c r="E116" s="37"/>
      <c r="F116" s="59" t="s">
        <v>2748</v>
      </c>
      <c r="G116" s="59"/>
      <c r="H116" s="37"/>
      <c r="I116" s="37"/>
      <c r="J116" s="780"/>
      <c r="K116" s="175"/>
      <c r="L116" s="175"/>
      <c r="M116" s="175"/>
      <c r="N116" s="175" t="s">
        <v>23</v>
      </c>
      <c r="O116" s="175"/>
      <c r="P116" s="175"/>
      <c r="Q116" s="175"/>
      <c r="R116" s="220"/>
      <c r="S116" s="774"/>
      <c r="T116" s="213"/>
      <c r="U116" s="213"/>
      <c r="V116" s="213"/>
      <c r="W116" s="213"/>
      <c r="X116" s="213"/>
      <c r="Y116" s="213"/>
      <c r="Z116" s="213"/>
      <c r="AA116" s="213"/>
      <c r="AB116" s="213"/>
      <c r="AC116" s="213"/>
      <c r="AD116" s="213"/>
      <c r="AE116" s="213"/>
      <c r="AF116" s="213"/>
    </row>
    <row r="117" spans="1:32" ht="92.25" customHeight="1">
      <c r="A117" s="59" t="s">
        <v>2749</v>
      </c>
      <c r="B117" s="473"/>
      <c r="C117" s="514" t="s">
        <v>16</v>
      </c>
      <c r="D117" s="59" t="s">
        <v>2750</v>
      </c>
      <c r="E117" s="37"/>
      <c r="F117" s="59" t="s">
        <v>2751</v>
      </c>
      <c r="G117" s="59"/>
      <c r="H117" s="37"/>
      <c r="I117" s="37"/>
      <c r="J117" s="781"/>
      <c r="K117" s="175"/>
      <c r="L117" s="175"/>
      <c r="M117" s="175"/>
      <c r="N117" s="175" t="s">
        <v>184</v>
      </c>
      <c r="O117" s="175"/>
      <c r="P117" s="175"/>
      <c r="Q117" s="175" t="s">
        <v>184</v>
      </c>
      <c r="R117" s="220"/>
      <c r="S117" s="774"/>
      <c r="T117" s="213"/>
      <c r="U117" s="213"/>
      <c r="V117" s="213"/>
      <c r="W117" s="213"/>
      <c r="X117" s="213"/>
      <c r="Y117" s="213"/>
      <c r="Z117" s="213"/>
      <c r="AA117" s="213"/>
      <c r="AB117" s="213"/>
      <c r="AC117" s="213"/>
      <c r="AD117" s="213"/>
      <c r="AE117" s="213"/>
      <c r="AF117" s="213"/>
    </row>
    <row r="118" spans="1:32" ht="92.25" customHeight="1">
      <c r="A118" s="59" t="s">
        <v>2752</v>
      </c>
      <c r="B118" s="473"/>
      <c r="C118" s="514" t="s">
        <v>16</v>
      </c>
      <c r="D118" s="59" t="s">
        <v>2753</v>
      </c>
      <c r="E118" s="37"/>
      <c r="F118" s="59" t="s">
        <v>2754</v>
      </c>
      <c r="G118" s="59"/>
      <c r="H118" s="37"/>
      <c r="I118" s="37"/>
      <c r="J118" s="782"/>
      <c r="K118" s="175"/>
      <c r="L118" s="175"/>
      <c r="M118" s="175"/>
      <c r="N118" s="175" t="s">
        <v>184</v>
      </c>
      <c r="O118" s="175"/>
      <c r="P118" s="175"/>
      <c r="Q118" s="175" t="s">
        <v>184</v>
      </c>
      <c r="R118" s="220" t="s">
        <v>2755</v>
      </c>
      <c r="S118" s="774"/>
      <c r="T118" s="213"/>
      <c r="U118" s="213"/>
      <c r="V118" s="213"/>
      <c r="W118" s="213"/>
      <c r="X118" s="213"/>
      <c r="Y118" s="213"/>
      <c r="Z118" s="213"/>
      <c r="AA118" s="213"/>
      <c r="AB118" s="213"/>
      <c r="AC118" s="213"/>
      <c r="AD118" s="213"/>
      <c r="AE118" s="213"/>
      <c r="AF118" s="213"/>
    </row>
    <row r="119" spans="1:32" ht="45.75" customHeight="1">
      <c r="A119" s="59" t="s">
        <v>2756</v>
      </c>
      <c r="B119" s="473"/>
      <c r="C119" s="514" t="s">
        <v>16</v>
      </c>
      <c r="D119" s="59" t="s">
        <v>2757</v>
      </c>
      <c r="E119" s="37"/>
      <c r="F119" s="59" t="s">
        <v>2758</v>
      </c>
      <c r="G119" s="59"/>
      <c r="H119" s="37"/>
      <c r="I119" s="37"/>
      <c r="J119" s="780"/>
      <c r="K119" s="175"/>
      <c r="L119" s="175"/>
      <c r="M119" s="175"/>
      <c r="N119" s="175" t="s">
        <v>23</v>
      </c>
      <c r="O119" s="175"/>
      <c r="P119" s="175"/>
      <c r="Q119" s="175"/>
      <c r="R119" s="220"/>
      <c r="S119" s="774"/>
      <c r="T119" s="213"/>
      <c r="U119" s="213"/>
      <c r="V119" s="213"/>
      <c r="W119" s="213"/>
      <c r="X119" s="213"/>
      <c r="Y119" s="213"/>
      <c r="Z119" s="213"/>
      <c r="AA119" s="213"/>
      <c r="AB119" s="213"/>
      <c r="AC119" s="213"/>
      <c r="AD119" s="213"/>
      <c r="AE119" s="213"/>
      <c r="AF119" s="213"/>
    </row>
    <row r="120" spans="1:32" ht="61.5" customHeight="1">
      <c r="A120" s="59" t="s">
        <v>2759</v>
      </c>
      <c r="B120" s="473"/>
      <c r="C120" s="514" t="s">
        <v>16</v>
      </c>
      <c r="D120" s="59" t="s">
        <v>2760</v>
      </c>
      <c r="E120" s="37"/>
      <c r="F120" s="59" t="s">
        <v>2761</v>
      </c>
      <c r="G120" s="59"/>
      <c r="H120" s="37"/>
      <c r="I120" s="37"/>
      <c r="J120" s="781"/>
      <c r="K120" s="175"/>
      <c r="L120" s="175"/>
      <c r="M120" s="175"/>
      <c r="N120" s="175" t="s">
        <v>23</v>
      </c>
      <c r="O120" s="175"/>
      <c r="P120" s="175"/>
      <c r="Q120" s="175"/>
      <c r="R120" s="220"/>
      <c r="S120" s="774"/>
      <c r="T120" s="213"/>
      <c r="U120" s="213"/>
      <c r="V120" s="213"/>
      <c r="W120" s="213"/>
      <c r="X120" s="213"/>
      <c r="Y120" s="213"/>
      <c r="Z120" s="213"/>
      <c r="AA120" s="213"/>
      <c r="AB120" s="213"/>
      <c r="AC120" s="213"/>
      <c r="AD120" s="213"/>
      <c r="AE120" s="213"/>
      <c r="AF120" s="213"/>
    </row>
    <row r="121" spans="1:32" ht="61.5" customHeight="1">
      <c r="A121" s="59" t="s">
        <v>2762</v>
      </c>
      <c r="B121" s="473"/>
      <c r="C121" s="514" t="s">
        <v>16</v>
      </c>
      <c r="D121" s="59" t="s">
        <v>2763</v>
      </c>
      <c r="E121" s="37"/>
      <c r="F121" s="59" t="s">
        <v>2764</v>
      </c>
      <c r="G121" s="59"/>
      <c r="H121" s="37"/>
      <c r="I121" s="37"/>
      <c r="J121" s="781"/>
      <c r="K121" s="175"/>
      <c r="L121" s="175"/>
      <c r="M121" s="175"/>
      <c r="N121" s="175" t="s">
        <v>23</v>
      </c>
      <c r="O121" s="175"/>
      <c r="P121" s="175"/>
      <c r="Q121" s="175"/>
      <c r="R121" s="220"/>
      <c r="S121" s="774"/>
      <c r="T121" s="213"/>
      <c r="U121" s="213"/>
      <c r="V121" s="213"/>
      <c r="W121" s="213"/>
      <c r="X121" s="213"/>
      <c r="Y121" s="213"/>
      <c r="Z121" s="213"/>
      <c r="AA121" s="213"/>
      <c r="AB121" s="213"/>
      <c r="AC121" s="213"/>
      <c r="AD121" s="213"/>
      <c r="AE121" s="213"/>
      <c r="AF121" s="213"/>
    </row>
    <row r="122" spans="1:32" ht="61.5" customHeight="1">
      <c r="A122" s="59" t="s">
        <v>2765</v>
      </c>
      <c r="B122" s="473"/>
      <c r="C122" s="514" t="s">
        <v>16</v>
      </c>
      <c r="D122" s="59" t="s">
        <v>2766</v>
      </c>
      <c r="E122" s="37"/>
      <c r="F122" s="59" t="s">
        <v>2767</v>
      </c>
      <c r="G122" s="59"/>
      <c r="H122" s="37"/>
      <c r="I122" s="37"/>
      <c r="J122" s="782"/>
      <c r="K122" s="175"/>
      <c r="L122" s="175"/>
      <c r="M122" s="175"/>
      <c r="N122" s="175" t="s">
        <v>23</v>
      </c>
      <c r="O122" s="175"/>
      <c r="P122" s="175"/>
      <c r="Q122" s="175"/>
      <c r="R122" s="220"/>
      <c r="S122" s="774"/>
      <c r="T122" s="213"/>
      <c r="U122" s="213"/>
      <c r="V122" s="213"/>
      <c r="W122" s="213"/>
      <c r="X122" s="213"/>
      <c r="Y122" s="213"/>
      <c r="Z122" s="213"/>
      <c r="AA122" s="213"/>
      <c r="AB122" s="213"/>
      <c r="AC122" s="213"/>
      <c r="AD122" s="213"/>
      <c r="AE122" s="213"/>
      <c r="AF122" s="213"/>
    </row>
    <row r="123" spans="1:32" ht="107.25" customHeight="1">
      <c r="A123" s="59" t="s">
        <v>2768</v>
      </c>
      <c r="B123" s="473"/>
      <c r="C123" s="514" t="s">
        <v>16</v>
      </c>
      <c r="D123" s="59" t="s">
        <v>2769</v>
      </c>
      <c r="E123" s="37"/>
      <c r="F123" s="59" t="s">
        <v>2770</v>
      </c>
      <c r="G123" s="59"/>
      <c r="H123" s="37"/>
      <c r="I123" s="37"/>
      <c r="J123" s="780"/>
      <c r="K123" s="175"/>
      <c r="L123" s="175"/>
      <c r="M123" s="175"/>
      <c r="N123" s="175" t="s">
        <v>23</v>
      </c>
      <c r="O123" s="175"/>
      <c r="P123" s="175"/>
      <c r="Q123" s="175"/>
      <c r="R123" s="220"/>
      <c r="S123" s="774"/>
      <c r="T123" s="213"/>
      <c r="U123" s="213"/>
      <c r="V123" s="213"/>
      <c r="W123" s="213"/>
      <c r="X123" s="213"/>
      <c r="Y123" s="213"/>
      <c r="Z123" s="213"/>
      <c r="AA123" s="213"/>
      <c r="AB123" s="213"/>
      <c r="AC123" s="213"/>
      <c r="AD123" s="213"/>
      <c r="AE123" s="213"/>
      <c r="AF123" s="213"/>
    </row>
    <row r="124" spans="1:32" ht="107.25" customHeight="1">
      <c r="A124" s="59" t="s">
        <v>2771</v>
      </c>
      <c r="B124" s="473"/>
      <c r="C124" s="514" t="s">
        <v>16</v>
      </c>
      <c r="D124" s="59" t="s">
        <v>2772</v>
      </c>
      <c r="E124" s="37"/>
      <c r="F124" s="59" t="s">
        <v>2773</v>
      </c>
      <c r="G124" s="59"/>
      <c r="H124" s="37"/>
      <c r="I124" s="37"/>
      <c r="J124" s="781"/>
      <c r="K124" s="175"/>
      <c r="L124" s="175"/>
      <c r="M124" s="175"/>
      <c r="N124" s="175" t="s">
        <v>23</v>
      </c>
      <c r="O124" s="175"/>
      <c r="P124" s="175"/>
      <c r="Q124" s="175"/>
      <c r="R124" s="220"/>
      <c r="S124" s="774"/>
      <c r="T124" s="213"/>
      <c r="U124" s="213"/>
      <c r="V124" s="213"/>
      <c r="W124" s="213"/>
      <c r="X124" s="213"/>
      <c r="Y124" s="213"/>
      <c r="Z124" s="213"/>
      <c r="AA124" s="213"/>
      <c r="AB124" s="213"/>
      <c r="AC124" s="213"/>
      <c r="AD124" s="213"/>
      <c r="AE124" s="213"/>
      <c r="AF124" s="213"/>
    </row>
    <row r="125" spans="1:32" ht="107.25" customHeight="1">
      <c r="A125" s="59" t="s">
        <v>2774</v>
      </c>
      <c r="B125" s="473"/>
      <c r="C125" s="514" t="s">
        <v>16</v>
      </c>
      <c r="D125" s="59" t="s">
        <v>2775</v>
      </c>
      <c r="E125" s="37"/>
      <c r="F125" s="59" t="s">
        <v>2776</v>
      </c>
      <c r="G125" s="59"/>
      <c r="H125" s="37"/>
      <c r="I125" s="37"/>
      <c r="J125" s="781"/>
      <c r="K125" s="175"/>
      <c r="L125" s="175"/>
      <c r="M125" s="175"/>
      <c r="N125" s="175" t="s">
        <v>23</v>
      </c>
      <c r="O125" s="175"/>
      <c r="P125" s="175"/>
      <c r="Q125" s="175"/>
      <c r="R125" s="220"/>
      <c r="S125" s="774"/>
      <c r="T125" s="213"/>
      <c r="U125" s="213"/>
      <c r="V125" s="213"/>
      <c r="W125" s="213"/>
      <c r="X125" s="213"/>
      <c r="Y125" s="213"/>
      <c r="Z125" s="213"/>
      <c r="AA125" s="213"/>
      <c r="AB125" s="213"/>
      <c r="AC125" s="213"/>
      <c r="AD125" s="213"/>
      <c r="AE125" s="213"/>
      <c r="AF125" s="213"/>
    </row>
    <row r="126" spans="1:32" ht="107.25" customHeight="1">
      <c r="A126" s="59" t="s">
        <v>2777</v>
      </c>
      <c r="B126" s="473"/>
      <c r="C126" s="514" t="s">
        <v>16</v>
      </c>
      <c r="D126" s="59" t="s">
        <v>2778</v>
      </c>
      <c r="E126" s="37"/>
      <c r="F126" s="59" t="s">
        <v>2779</v>
      </c>
      <c r="G126" s="59"/>
      <c r="H126" s="37"/>
      <c r="I126" s="37"/>
      <c r="J126" s="781"/>
      <c r="K126" s="175"/>
      <c r="L126" s="175"/>
      <c r="M126" s="175"/>
      <c r="N126" s="175" t="s">
        <v>23</v>
      </c>
      <c r="O126" s="175"/>
      <c r="P126" s="175"/>
      <c r="Q126" s="175"/>
      <c r="R126" s="220"/>
      <c r="S126" s="774"/>
      <c r="T126" s="213"/>
      <c r="U126" s="213"/>
      <c r="V126" s="213"/>
      <c r="W126" s="213"/>
      <c r="X126" s="213"/>
      <c r="Y126" s="213"/>
      <c r="Z126" s="213"/>
      <c r="AA126" s="213"/>
      <c r="AB126" s="213"/>
      <c r="AC126" s="213"/>
      <c r="AD126" s="213"/>
      <c r="AE126" s="213"/>
      <c r="AF126" s="213"/>
    </row>
    <row r="127" spans="1:32" ht="123" customHeight="1">
      <c r="A127" s="59" t="s">
        <v>2780</v>
      </c>
      <c r="B127" s="473"/>
      <c r="C127" s="514" t="s">
        <v>16</v>
      </c>
      <c r="D127" s="59" t="s">
        <v>2781</v>
      </c>
      <c r="E127" s="37"/>
      <c r="F127" s="59" t="s">
        <v>2782</v>
      </c>
      <c r="G127" s="59"/>
      <c r="H127" s="37"/>
      <c r="I127" s="37"/>
      <c r="J127" s="781"/>
      <c r="K127" s="175"/>
      <c r="L127" s="175"/>
      <c r="M127" s="175"/>
      <c r="N127" s="175" t="s">
        <v>23</v>
      </c>
      <c r="O127" s="175"/>
      <c r="P127" s="175"/>
      <c r="Q127" s="175"/>
      <c r="R127" s="220"/>
      <c r="S127" s="774"/>
      <c r="T127" s="213"/>
      <c r="U127" s="213"/>
      <c r="V127" s="213"/>
      <c r="W127" s="213"/>
      <c r="X127" s="213"/>
      <c r="Y127" s="213"/>
      <c r="Z127" s="213"/>
      <c r="AA127" s="213"/>
      <c r="AB127" s="213"/>
      <c r="AC127" s="213"/>
      <c r="AD127" s="213"/>
      <c r="AE127" s="213"/>
      <c r="AF127" s="213"/>
    </row>
    <row r="128" spans="1:32" ht="107.25" customHeight="1">
      <c r="A128" s="59" t="s">
        <v>2783</v>
      </c>
      <c r="B128" s="473"/>
      <c r="C128" s="514" t="s">
        <v>16</v>
      </c>
      <c r="D128" s="59" t="s">
        <v>2784</v>
      </c>
      <c r="E128" s="37"/>
      <c r="F128" s="59" t="s">
        <v>2785</v>
      </c>
      <c r="G128" s="59"/>
      <c r="H128" s="37"/>
      <c r="I128" s="37"/>
      <c r="J128" s="781"/>
      <c r="K128" s="175"/>
      <c r="L128" s="175"/>
      <c r="M128" s="175"/>
      <c r="N128" s="175" t="s">
        <v>23</v>
      </c>
      <c r="O128" s="175"/>
      <c r="P128" s="175"/>
      <c r="Q128" s="175"/>
      <c r="R128" s="220"/>
      <c r="S128" s="774"/>
      <c r="T128" s="213"/>
      <c r="U128" s="213"/>
      <c r="V128" s="213"/>
      <c r="W128" s="213"/>
      <c r="X128" s="213"/>
      <c r="Y128" s="213"/>
      <c r="Z128" s="213"/>
      <c r="AA128" s="213"/>
      <c r="AB128" s="213"/>
      <c r="AC128" s="213"/>
      <c r="AD128" s="213"/>
      <c r="AE128" s="213"/>
      <c r="AF128" s="213"/>
    </row>
    <row r="129" spans="1:32" ht="123" customHeight="1">
      <c r="A129" s="59" t="s">
        <v>2786</v>
      </c>
      <c r="B129" s="473"/>
      <c r="C129" s="514" t="s">
        <v>16</v>
      </c>
      <c r="D129" s="59" t="s">
        <v>2787</v>
      </c>
      <c r="E129" s="37"/>
      <c r="F129" s="59" t="s">
        <v>2788</v>
      </c>
      <c r="G129" s="59"/>
      <c r="H129" s="37"/>
      <c r="I129" s="37"/>
      <c r="J129" s="781"/>
      <c r="K129" s="175"/>
      <c r="L129" s="175"/>
      <c r="M129" s="175"/>
      <c r="N129" s="175" t="s">
        <v>23</v>
      </c>
      <c r="O129" s="175"/>
      <c r="P129" s="175"/>
      <c r="Q129" s="175"/>
      <c r="R129" s="220"/>
      <c r="S129" s="774"/>
      <c r="T129" s="213"/>
      <c r="U129" s="213"/>
      <c r="V129" s="213"/>
      <c r="W129" s="213"/>
      <c r="X129" s="213"/>
      <c r="Y129" s="213"/>
      <c r="Z129" s="213"/>
      <c r="AA129" s="213"/>
      <c r="AB129" s="213"/>
      <c r="AC129" s="213"/>
      <c r="AD129" s="213"/>
      <c r="AE129" s="213"/>
      <c r="AF129" s="213"/>
    </row>
    <row r="130" spans="1:32" ht="107.25" customHeight="1">
      <c r="A130" s="59" t="s">
        <v>2789</v>
      </c>
      <c r="B130" s="473"/>
      <c r="C130" s="514" t="s">
        <v>16</v>
      </c>
      <c r="D130" s="59" t="s">
        <v>2790</v>
      </c>
      <c r="E130" s="37"/>
      <c r="F130" s="59" t="s">
        <v>2791</v>
      </c>
      <c r="G130" s="59"/>
      <c r="H130" s="37"/>
      <c r="I130" s="37"/>
      <c r="J130" s="782"/>
      <c r="K130" s="175"/>
      <c r="L130" s="175"/>
      <c r="M130" s="175"/>
      <c r="N130" s="175" t="s">
        <v>23</v>
      </c>
      <c r="O130" s="175"/>
      <c r="P130" s="175"/>
      <c r="Q130" s="175"/>
      <c r="R130" s="220"/>
      <c r="S130" s="774"/>
      <c r="T130" s="213"/>
      <c r="U130" s="213"/>
      <c r="V130" s="213"/>
      <c r="W130" s="213"/>
      <c r="X130" s="213"/>
      <c r="Y130" s="213"/>
      <c r="Z130" s="213"/>
      <c r="AA130" s="213"/>
      <c r="AB130" s="213"/>
      <c r="AC130" s="213"/>
      <c r="AD130" s="213"/>
      <c r="AE130" s="213"/>
      <c r="AF130" s="213"/>
    </row>
    <row r="131" spans="1:32" ht="45.75" customHeight="1">
      <c r="A131" s="59" t="s">
        <v>2792</v>
      </c>
      <c r="B131" s="473"/>
      <c r="C131" s="514" t="s">
        <v>16</v>
      </c>
      <c r="D131" s="59" t="s">
        <v>2793</v>
      </c>
      <c r="E131" s="37"/>
      <c r="F131" s="59" t="s">
        <v>2794</v>
      </c>
      <c r="G131" s="59"/>
      <c r="H131" s="37"/>
      <c r="I131" s="37"/>
      <c r="J131" s="780"/>
      <c r="K131" s="175"/>
      <c r="L131" s="175"/>
      <c r="M131" s="175"/>
      <c r="N131" s="175" t="s">
        <v>23</v>
      </c>
      <c r="O131" s="175"/>
      <c r="P131" s="175"/>
      <c r="Q131" s="175"/>
      <c r="R131" s="220"/>
      <c r="S131" s="774"/>
      <c r="T131" s="213"/>
      <c r="U131" s="213"/>
      <c r="V131" s="213"/>
      <c r="W131" s="213"/>
      <c r="X131" s="213"/>
      <c r="Y131" s="213"/>
      <c r="Z131" s="213"/>
      <c r="AA131" s="213"/>
      <c r="AB131" s="213"/>
      <c r="AC131" s="213"/>
      <c r="AD131" s="213"/>
      <c r="AE131" s="213"/>
      <c r="AF131" s="213"/>
    </row>
    <row r="132" spans="1:32" ht="61.5" customHeight="1">
      <c r="A132" s="59" t="s">
        <v>2795</v>
      </c>
      <c r="B132" s="473"/>
      <c r="C132" s="514" t="s">
        <v>16</v>
      </c>
      <c r="D132" s="59" t="s">
        <v>2796</v>
      </c>
      <c r="E132" s="37"/>
      <c r="F132" s="59" t="s">
        <v>2797</v>
      </c>
      <c r="G132" s="59"/>
      <c r="H132" s="37"/>
      <c r="I132" s="37"/>
      <c r="J132" s="781"/>
      <c r="K132" s="175"/>
      <c r="L132" s="175"/>
      <c r="M132" s="175"/>
      <c r="N132" s="175" t="s">
        <v>23</v>
      </c>
      <c r="O132" s="175"/>
      <c r="P132" s="175"/>
      <c r="Q132" s="175"/>
      <c r="R132" s="220"/>
      <c r="S132" s="774"/>
      <c r="T132" s="213"/>
      <c r="U132" s="213"/>
      <c r="V132" s="213"/>
      <c r="W132" s="213"/>
      <c r="X132" s="213"/>
      <c r="Y132" s="213"/>
      <c r="Z132" s="213"/>
      <c r="AA132" s="213"/>
      <c r="AB132" s="213"/>
      <c r="AC132" s="213"/>
      <c r="AD132" s="213"/>
      <c r="AE132" s="213"/>
      <c r="AF132" s="213"/>
    </row>
    <row r="133" spans="1:32" ht="61.5" customHeight="1">
      <c r="A133" s="59" t="s">
        <v>2798</v>
      </c>
      <c r="B133" s="473"/>
      <c r="C133" s="514" t="s">
        <v>16</v>
      </c>
      <c r="D133" s="59" t="s">
        <v>2799</v>
      </c>
      <c r="E133" s="37"/>
      <c r="F133" s="59" t="s">
        <v>2800</v>
      </c>
      <c r="G133" s="59"/>
      <c r="H133" s="37"/>
      <c r="I133" s="37"/>
      <c r="J133" s="782"/>
      <c r="K133" s="175"/>
      <c r="L133" s="175"/>
      <c r="M133" s="175"/>
      <c r="N133" s="175" t="s">
        <v>23</v>
      </c>
      <c r="O133" s="175"/>
      <c r="P133" s="175"/>
      <c r="Q133" s="175"/>
      <c r="R133" s="220"/>
      <c r="S133" s="774"/>
      <c r="T133" s="213"/>
      <c r="U133" s="213"/>
      <c r="V133" s="213"/>
      <c r="W133" s="213"/>
      <c r="X133" s="213"/>
      <c r="Y133" s="213"/>
      <c r="Z133" s="213"/>
      <c r="AA133" s="213"/>
      <c r="AB133" s="213"/>
      <c r="AC133" s="213"/>
      <c r="AD133" s="213"/>
      <c r="AE133" s="213"/>
      <c r="AF133" s="213"/>
    </row>
    <row r="134" spans="1:32" ht="61.5" customHeight="1">
      <c r="A134" s="59" t="s">
        <v>2801</v>
      </c>
      <c r="B134" s="473"/>
      <c r="C134" s="514" t="s">
        <v>16</v>
      </c>
      <c r="D134" s="59" t="s">
        <v>2802</v>
      </c>
      <c r="E134" s="37"/>
      <c r="F134" s="59" t="s">
        <v>2803</v>
      </c>
      <c r="G134" s="59"/>
      <c r="H134" s="37"/>
      <c r="I134" s="37"/>
      <c r="J134" s="780"/>
      <c r="K134" s="175"/>
      <c r="L134" s="175"/>
      <c r="M134" s="175"/>
      <c r="N134" s="175" t="s">
        <v>23</v>
      </c>
      <c r="O134" s="175"/>
      <c r="P134" s="175"/>
      <c r="Q134" s="175"/>
      <c r="R134" s="220"/>
      <c r="S134" s="774"/>
      <c r="T134" s="213"/>
      <c r="U134" s="213"/>
      <c r="V134" s="213"/>
      <c r="W134" s="213"/>
      <c r="X134" s="213"/>
      <c r="Y134" s="213"/>
      <c r="Z134" s="213"/>
      <c r="AA134" s="213"/>
      <c r="AB134" s="213"/>
      <c r="AC134" s="213"/>
      <c r="AD134" s="213"/>
      <c r="AE134" s="213"/>
      <c r="AF134" s="213"/>
    </row>
    <row r="135" spans="1:32" ht="61.5" customHeight="1">
      <c r="A135" s="59" t="s">
        <v>2804</v>
      </c>
      <c r="B135" s="473"/>
      <c r="C135" s="514" t="s">
        <v>16</v>
      </c>
      <c r="D135" s="59" t="s">
        <v>2805</v>
      </c>
      <c r="E135" s="37"/>
      <c r="F135" s="580" t="s">
        <v>2806</v>
      </c>
      <c r="G135" s="59"/>
      <c r="H135" s="37"/>
      <c r="I135" s="37"/>
      <c r="J135" s="781"/>
      <c r="K135" s="175"/>
      <c r="L135" s="175"/>
      <c r="M135" s="175"/>
      <c r="N135" s="175" t="s">
        <v>23</v>
      </c>
      <c r="O135" s="175"/>
      <c r="P135" s="175"/>
      <c r="Q135" s="175"/>
      <c r="R135" s="220"/>
      <c r="S135" s="774"/>
      <c r="T135" s="213"/>
      <c r="U135" s="213"/>
      <c r="V135" s="213"/>
      <c r="W135" s="213"/>
      <c r="X135" s="213"/>
      <c r="Y135" s="213"/>
      <c r="Z135" s="213"/>
      <c r="AA135" s="213"/>
      <c r="AB135" s="213"/>
      <c r="AC135" s="213"/>
      <c r="AD135" s="213"/>
      <c r="AE135" s="213"/>
      <c r="AF135" s="213"/>
    </row>
    <row r="136" spans="1:32" ht="61.5" customHeight="1">
      <c r="A136" s="59" t="s">
        <v>2807</v>
      </c>
      <c r="B136" s="473"/>
      <c r="C136" s="514" t="s">
        <v>16</v>
      </c>
      <c r="D136" s="59" t="s">
        <v>2808</v>
      </c>
      <c r="E136" s="37"/>
      <c r="F136" s="580" t="s">
        <v>2809</v>
      </c>
      <c r="G136" s="59"/>
      <c r="H136" s="37"/>
      <c r="I136" s="37"/>
      <c r="J136" s="781"/>
      <c r="K136" s="175"/>
      <c r="L136" s="175"/>
      <c r="M136" s="175"/>
      <c r="N136" s="175" t="s">
        <v>23</v>
      </c>
      <c r="O136" s="175"/>
      <c r="P136" s="175"/>
      <c r="Q136" s="175"/>
      <c r="R136" s="220"/>
      <c r="S136" s="774"/>
      <c r="T136" s="213"/>
      <c r="U136" s="213"/>
      <c r="V136" s="213"/>
      <c r="W136" s="213"/>
      <c r="X136" s="213"/>
      <c r="Y136" s="213"/>
      <c r="Z136" s="213"/>
      <c r="AA136" s="213"/>
      <c r="AB136" s="213"/>
      <c r="AC136" s="213"/>
      <c r="AD136" s="213"/>
      <c r="AE136" s="213"/>
      <c r="AF136" s="213"/>
    </row>
    <row r="137" spans="1:32" ht="61.5" customHeight="1">
      <c r="A137" s="59" t="s">
        <v>2810</v>
      </c>
      <c r="B137" s="473"/>
      <c r="C137" s="514" t="s">
        <v>16</v>
      </c>
      <c r="D137" s="59" t="s">
        <v>2811</v>
      </c>
      <c r="E137" s="37"/>
      <c r="F137" s="580" t="s">
        <v>2812</v>
      </c>
      <c r="G137" s="59"/>
      <c r="H137" s="37"/>
      <c r="I137" s="37"/>
      <c r="J137" s="781"/>
      <c r="K137" s="175"/>
      <c r="L137" s="175"/>
      <c r="M137" s="175"/>
      <c r="N137" s="175" t="s">
        <v>23</v>
      </c>
      <c r="O137" s="175"/>
      <c r="P137" s="175"/>
      <c r="Q137" s="175"/>
      <c r="R137" s="220"/>
      <c r="S137" s="774"/>
      <c r="T137" s="213"/>
      <c r="U137" s="213"/>
      <c r="V137" s="213"/>
      <c r="W137" s="213"/>
      <c r="X137" s="213"/>
      <c r="Y137" s="213"/>
      <c r="Z137" s="213"/>
      <c r="AA137" s="213"/>
      <c r="AB137" s="213"/>
      <c r="AC137" s="213"/>
      <c r="AD137" s="213"/>
      <c r="AE137" s="213"/>
      <c r="AF137" s="213"/>
    </row>
    <row r="138" spans="1:32" ht="61.5" customHeight="1">
      <c r="A138" s="59" t="s">
        <v>2813</v>
      </c>
      <c r="B138" s="473"/>
      <c r="C138" s="514" t="s">
        <v>16</v>
      </c>
      <c r="D138" s="59" t="s">
        <v>2814</v>
      </c>
      <c r="E138" s="37"/>
      <c r="F138" s="580" t="s">
        <v>2815</v>
      </c>
      <c r="G138" s="59"/>
      <c r="H138" s="37"/>
      <c r="I138" s="37"/>
      <c r="J138" s="781"/>
      <c r="K138" s="175"/>
      <c r="L138" s="175"/>
      <c r="M138" s="175"/>
      <c r="N138" s="175" t="s">
        <v>23</v>
      </c>
      <c r="O138" s="175"/>
      <c r="P138" s="175"/>
      <c r="Q138" s="175"/>
      <c r="R138" s="220"/>
      <c r="S138" s="774"/>
      <c r="T138" s="213"/>
      <c r="U138" s="213"/>
      <c r="V138" s="213"/>
      <c r="W138" s="213"/>
      <c r="X138" s="213"/>
      <c r="Y138" s="213"/>
      <c r="Z138" s="213"/>
      <c r="AA138" s="213"/>
      <c r="AB138" s="213"/>
      <c r="AC138" s="213"/>
      <c r="AD138" s="213"/>
      <c r="AE138" s="213"/>
      <c r="AF138" s="213"/>
    </row>
    <row r="139" spans="1:32" ht="61.5" customHeight="1">
      <c r="A139" s="59" t="s">
        <v>2816</v>
      </c>
      <c r="B139" s="473"/>
      <c r="C139" s="514" t="s">
        <v>16</v>
      </c>
      <c r="D139" s="59" t="s">
        <v>2817</v>
      </c>
      <c r="E139" s="37"/>
      <c r="F139" s="580" t="s">
        <v>3267</v>
      </c>
      <c r="G139" s="59"/>
      <c r="H139" s="37"/>
      <c r="I139" s="37"/>
      <c r="J139" s="781"/>
      <c r="K139" s="175"/>
      <c r="L139" s="175"/>
      <c r="M139" s="175"/>
      <c r="N139" s="175" t="s">
        <v>23</v>
      </c>
      <c r="O139" s="175"/>
      <c r="P139" s="175"/>
      <c r="Q139" s="175"/>
      <c r="R139" s="220"/>
      <c r="S139" s="774"/>
      <c r="T139" s="213"/>
      <c r="U139" s="213"/>
      <c r="V139" s="213"/>
      <c r="W139" s="213"/>
      <c r="X139" s="213"/>
      <c r="Y139" s="213"/>
      <c r="Z139" s="213"/>
      <c r="AA139" s="213"/>
      <c r="AB139" s="213"/>
      <c r="AC139" s="213"/>
      <c r="AD139" s="213"/>
      <c r="AE139" s="213"/>
      <c r="AF139" s="213"/>
    </row>
    <row r="140" spans="1:32" ht="61.5" customHeight="1">
      <c r="A140" s="59" t="s">
        <v>2818</v>
      </c>
      <c r="B140" s="473"/>
      <c r="C140" s="514" t="s">
        <v>16</v>
      </c>
      <c r="D140" s="59" t="s">
        <v>2819</v>
      </c>
      <c r="E140" s="37"/>
      <c r="F140" s="580" t="s">
        <v>2820</v>
      </c>
      <c r="G140" s="59"/>
      <c r="H140" s="37"/>
      <c r="I140" s="37"/>
      <c r="J140" s="781"/>
      <c r="K140" s="175"/>
      <c r="L140" s="175"/>
      <c r="M140" s="175"/>
      <c r="N140" s="175" t="s">
        <v>23</v>
      </c>
      <c r="O140" s="175"/>
      <c r="P140" s="175"/>
      <c r="Q140" s="175"/>
      <c r="R140" s="220" t="s">
        <v>2821</v>
      </c>
      <c r="S140" s="774"/>
      <c r="T140" s="213"/>
      <c r="U140" s="213"/>
      <c r="V140" s="213"/>
      <c r="W140" s="213"/>
      <c r="X140" s="213"/>
      <c r="Y140" s="213"/>
      <c r="Z140" s="213"/>
      <c r="AA140" s="213"/>
      <c r="AB140" s="213"/>
      <c r="AC140" s="213"/>
      <c r="AD140" s="213"/>
      <c r="AE140" s="213"/>
      <c r="AF140" s="213"/>
    </row>
    <row r="141" spans="1:32" ht="61.5" customHeight="1">
      <c r="A141" s="59" t="s">
        <v>2822</v>
      </c>
      <c r="B141" s="473"/>
      <c r="C141" s="514" t="s">
        <v>16</v>
      </c>
      <c r="D141" s="59" t="s">
        <v>2823</v>
      </c>
      <c r="E141" s="37"/>
      <c r="F141" s="580" t="s">
        <v>2824</v>
      </c>
      <c r="G141" s="59"/>
      <c r="H141" s="37"/>
      <c r="I141" s="37"/>
      <c r="J141" s="781"/>
      <c r="K141" s="175"/>
      <c r="L141" s="175"/>
      <c r="M141" s="175"/>
      <c r="N141" s="175" t="s">
        <v>23</v>
      </c>
      <c r="O141" s="175"/>
      <c r="P141" s="175"/>
      <c r="Q141" s="175"/>
      <c r="R141" s="220"/>
      <c r="S141" s="774"/>
      <c r="T141" s="213"/>
      <c r="U141" s="213"/>
      <c r="V141" s="213"/>
      <c r="W141" s="213"/>
      <c r="X141" s="213"/>
      <c r="Y141" s="213"/>
      <c r="Z141" s="213"/>
      <c r="AA141" s="213"/>
      <c r="AB141" s="213"/>
      <c r="AC141" s="213"/>
      <c r="AD141" s="213"/>
      <c r="AE141" s="213"/>
      <c r="AF141" s="213"/>
    </row>
    <row r="142" spans="1:32" ht="61.5" customHeight="1">
      <c r="A142" s="59" t="s">
        <v>2825</v>
      </c>
      <c r="B142" s="473"/>
      <c r="C142" s="514" t="s">
        <v>16</v>
      </c>
      <c r="D142" s="59" t="s">
        <v>2826</v>
      </c>
      <c r="E142" s="37"/>
      <c r="F142" s="580" t="s">
        <v>2827</v>
      </c>
      <c r="G142" s="59"/>
      <c r="H142" s="37"/>
      <c r="I142" s="37"/>
      <c r="J142" s="781"/>
      <c r="K142" s="175"/>
      <c r="L142" s="175"/>
      <c r="M142" s="175"/>
      <c r="N142" s="175" t="s">
        <v>23</v>
      </c>
      <c r="O142" s="175"/>
      <c r="P142" s="175"/>
      <c r="Q142" s="175"/>
      <c r="R142" s="220"/>
      <c r="S142" s="774"/>
      <c r="T142" s="213"/>
      <c r="U142" s="213"/>
      <c r="V142" s="213"/>
      <c r="W142" s="213"/>
      <c r="X142" s="213"/>
      <c r="Y142" s="213"/>
      <c r="Z142" s="213"/>
      <c r="AA142" s="213"/>
      <c r="AB142" s="213"/>
      <c r="AC142" s="213"/>
      <c r="AD142" s="213"/>
      <c r="AE142" s="213"/>
      <c r="AF142" s="213"/>
    </row>
    <row r="143" spans="1:32" ht="61.5" customHeight="1">
      <c r="A143" s="59" t="s">
        <v>2828</v>
      </c>
      <c r="B143" s="473"/>
      <c r="C143" s="514" t="s">
        <v>16</v>
      </c>
      <c r="D143" s="59" t="s">
        <v>2829</v>
      </c>
      <c r="E143" s="37"/>
      <c r="F143" s="580" t="s">
        <v>2830</v>
      </c>
      <c r="G143" s="59"/>
      <c r="H143" s="37"/>
      <c r="I143" s="37"/>
      <c r="J143" s="781"/>
      <c r="K143" s="175"/>
      <c r="L143" s="175"/>
      <c r="M143" s="175"/>
      <c r="N143" s="175" t="s">
        <v>23</v>
      </c>
      <c r="O143" s="175"/>
      <c r="P143" s="175"/>
      <c r="Q143" s="175"/>
      <c r="R143" s="220"/>
      <c r="S143" s="774"/>
      <c r="T143" s="213"/>
      <c r="U143" s="213"/>
      <c r="V143" s="213"/>
      <c r="W143" s="213"/>
      <c r="X143" s="213"/>
      <c r="Y143" s="213"/>
      <c r="Z143" s="213"/>
      <c r="AA143" s="213"/>
      <c r="AB143" s="213"/>
      <c r="AC143" s="213"/>
      <c r="AD143" s="213"/>
      <c r="AE143" s="213"/>
      <c r="AF143" s="213"/>
    </row>
    <row r="144" spans="1:32" ht="61.5" customHeight="1">
      <c r="A144" s="59" t="s">
        <v>2831</v>
      </c>
      <c r="B144" s="473"/>
      <c r="C144" s="514" t="s">
        <v>16</v>
      </c>
      <c r="D144" s="59" t="s">
        <v>2832</v>
      </c>
      <c r="E144" s="37"/>
      <c r="F144" s="580" t="s">
        <v>2833</v>
      </c>
      <c r="G144" s="59"/>
      <c r="H144" s="37"/>
      <c r="I144" s="37"/>
      <c r="J144" s="782"/>
      <c r="K144" s="175"/>
      <c r="L144" s="175"/>
      <c r="M144" s="175"/>
      <c r="N144" s="175" t="s">
        <v>23</v>
      </c>
      <c r="O144" s="175"/>
      <c r="P144" s="175"/>
      <c r="Q144" s="175"/>
      <c r="R144" s="220"/>
      <c r="S144" s="774"/>
      <c r="T144" s="213"/>
      <c r="U144" s="213"/>
      <c r="V144" s="213"/>
      <c r="W144" s="213"/>
      <c r="X144" s="213"/>
      <c r="Y144" s="213"/>
      <c r="Z144" s="213"/>
      <c r="AA144" s="213"/>
      <c r="AB144" s="213"/>
      <c r="AC144" s="213"/>
      <c r="AD144" s="213"/>
      <c r="AE144" s="213"/>
      <c r="AF144" s="213"/>
    </row>
    <row r="145" spans="1:32" ht="107.25" customHeight="1">
      <c r="A145" s="59" t="s">
        <v>2834</v>
      </c>
      <c r="B145" s="473"/>
      <c r="C145" s="514" t="s">
        <v>16</v>
      </c>
      <c r="D145" s="59" t="s">
        <v>2835</v>
      </c>
      <c r="E145" s="37"/>
      <c r="F145" s="59" t="s">
        <v>2836</v>
      </c>
      <c r="G145" s="59"/>
      <c r="H145" s="37"/>
      <c r="I145" s="37"/>
      <c r="J145" s="780"/>
      <c r="K145" s="175"/>
      <c r="L145" s="175"/>
      <c r="M145" s="175"/>
      <c r="N145" s="175" t="s">
        <v>184</v>
      </c>
      <c r="O145" s="175"/>
      <c r="P145" s="175"/>
      <c r="Q145" s="175" t="s">
        <v>184</v>
      </c>
      <c r="R145" s="220" t="s">
        <v>2755</v>
      </c>
      <c r="S145" s="774"/>
      <c r="T145" s="213"/>
      <c r="U145" s="213"/>
      <c r="V145" s="213"/>
      <c r="W145" s="213"/>
      <c r="X145" s="213"/>
      <c r="Y145" s="213"/>
      <c r="Z145" s="213"/>
      <c r="AA145" s="213"/>
      <c r="AB145" s="213"/>
      <c r="AC145" s="213"/>
      <c r="AD145" s="213"/>
      <c r="AE145" s="213"/>
      <c r="AF145" s="213"/>
    </row>
    <row r="146" spans="1:32" ht="107.25" customHeight="1">
      <c r="A146" s="59" t="s">
        <v>2837</v>
      </c>
      <c r="B146" s="473"/>
      <c r="C146" s="514" t="s">
        <v>16</v>
      </c>
      <c r="D146" s="59" t="s">
        <v>2835</v>
      </c>
      <c r="E146" s="37"/>
      <c r="F146" s="59" t="s">
        <v>2838</v>
      </c>
      <c r="G146" s="59"/>
      <c r="H146" s="37"/>
      <c r="I146" s="37"/>
      <c r="J146" s="780"/>
      <c r="K146" s="175"/>
      <c r="L146" s="175"/>
      <c r="M146" s="175"/>
      <c r="N146" s="175" t="s">
        <v>184</v>
      </c>
      <c r="O146" s="175"/>
      <c r="P146" s="175"/>
      <c r="Q146" s="175" t="s">
        <v>184</v>
      </c>
      <c r="R146" s="220" t="s">
        <v>2755</v>
      </c>
      <c r="S146" s="774"/>
      <c r="T146" s="213"/>
      <c r="U146" s="213"/>
      <c r="V146" s="213"/>
      <c r="W146" s="213"/>
      <c r="X146" s="213"/>
      <c r="Y146" s="213"/>
      <c r="Z146" s="213"/>
      <c r="AA146" s="213"/>
      <c r="AB146" s="213"/>
      <c r="AC146" s="213"/>
      <c r="AD146" s="213"/>
      <c r="AE146" s="213"/>
      <c r="AF146" s="213"/>
    </row>
    <row r="147" spans="1:32" ht="76.5" customHeight="1">
      <c r="A147" s="59" t="s">
        <v>2839</v>
      </c>
      <c r="B147" s="473"/>
      <c r="C147" s="514" t="s">
        <v>16</v>
      </c>
      <c r="D147" s="59" t="s">
        <v>2840</v>
      </c>
      <c r="E147" s="37"/>
      <c r="F147" s="59" t="s">
        <v>2841</v>
      </c>
      <c r="G147" s="59"/>
      <c r="H147" s="37"/>
      <c r="I147" s="212"/>
      <c r="J147" s="782"/>
      <c r="K147" s="778"/>
      <c r="L147" s="364"/>
      <c r="M147" s="175"/>
      <c r="N147" s="175" t="s">
        <v>184</v>
      </c>
      <c r="O147" s="175"/>
      <c r="P147" s="175"/>
      <c r="Q147" s="175" t="s">
        <v>184</v>
      </c>
      <c r="R147" s="220" t="s">
        <v>2755</v>
      </c>
      <c r="S147" s="774"/>
      <c r="T147" s="213"/>
      <c r="U147" s="213"/>
      <c r="V147" s="213"/>
      <c r="W147" s="213"/>
      <c r="X147" s="213"/>
      <c r="Y147" s="213"/>
      <c r="Z147" s="213"/>
      <c r="AA147" s="213"/>
      <c r="AB147" s="213"/>
      <c r="AC147" s="213"/>
      <c r="AD147" s="213"/>
      <c r="AE147" s="213"/>
      <c r="AF147" s="213"/>
    </row>
    <row r="148" spans="1:32" ht="76.5" customHeight="1">
      <c r="A148" s="59" t="s">
        <v>2842</v>
      </c>
      <c r="B148" s="473"/>
      <c r="C148" s="514" t="s">
        <v>16</v>
      </c>
      <c r="D148" s="59" t="s">
        <v>2843</v>
      </c>
      <c r="E148" s="37"/>
      <c r="F148" s="59" t="s">
        <v>2844</v>
      </c>
      <c r="G148" s="59"/>
      <c r="H148" s="37"/>
      <c r="I148" s="212"/>
      <c r="J148" s="782"/>
      <c r="K148" s="778"/>
      <c r="L148" s="364"/>
      <c r="M148" s="175"/>
      <c r="N148" s="175" t="s">
        <v>184</v>
      </c>
      <c r="O148" s="175"/>
      <c r="P148" s="175"/>
      <c r="Q148" s="175" t="s">
        <v>184</v>
      </c>
      <c r="R148" s="220" t="s">
        <v>2755</v>
      </c>
      <c r="S148" s="774"/>
      <c r="T148" s="213"/>
      <c r="U148" s="213"/>
      <c r="V148" s="213"/>
      <c r="W148" s="213"/>
      <c r="X148" s="213"/>
      <c r="Y148" s="213"/>
      <c r="Z148" s="213"/>
      <c r="AA148" s="213"/>
      <c r="AB148" s="213"/>
      <c r="AC148" s="213"/>
      <c r="AD148" s="213"/>
      <c r="AE148" s="213"/>
      <c r="AF148" s="213"/>
    </row>
    <row r="149" spans="1:32" ht="76.5" customHeight="1">
      <c r="A149" s="59" t="s">
        <v>2845</v>
      </c>
      <c r="B149" s="473"/>
      <c r="C149" s="514" t="s">
        <v>16</v>
      </c>
      <c r="D149" s="59" t="s">
        <v>2846</v>
      </c>
      <c r="E149" s="37"/>
      <c r="F149" s="59" t="s">
        <v>2844</v>
      </c>
      <c r="G149" s="59"/>
      <c r="H149" s="37"/>
      <c r="I149" s="212"/>
      <c r="J149" s="777"/>
      <c r="K149" s="778"/>
      <c r="L149" s="364"/>
      <c r="M149" s="175"/>
      <c r="N149" s="175" t="s">
        <v>184</v>
      </c>
      <c r="O149" s="175"/>
      <c r="P149" s="175"/>
      <c r="Q149" s="175" t="s">
        <v>184</v>
      </c>
      <c r="R149" s="220" t="s">
        <v>2755</v>
      </c>
      <c r="S149" s="774"/>
      <c r="T149" s="213"/>
      <c r="U149" s="213"/>
      <c r="V149" s="213"/>
      <c r="W149" s="213"/>
      <c r="X149" s="213"/>
      <c r="Y149" s="213"/>
      <c r="Z149" s="213"/>
      <c r="AA149" s="213"/>
      <c r="AB149" s="213"/>
      <c r="AC149" s="213"/>
      <c r="AD149" s="213"/>
      <c r="AE149" s="213"/>
      <c r="AF149" s="213"/>
    </row>
    <row r="150" spans="1:32">
      <c r="B150" s="568"/>
      <c r="C150" s="568"/>
      <c r="D150" s="639" t="s">
        <v>2847</v>
      </c>
      <c r="F150" s="783"/>
      <c r="G150" s="162"/>
      <c r="H150" s="568"/>
      <c r="I150" s="568"/>
      <c r="J150" s="784"/>
      <c r="K150" s="586"/>
      <c r="L150" s="586"/>
      <c r="M150" s="586"/>
      <c r="N150" s="586"/>
      <c r="O150" s="586"/>
      <c r="P150" s="586"/>
      <c r="Q150" s="586"/>
      <c r="R150" s="162"/>
      <c r="S150" s="785"/>
    </row>
    <row r="151" spans="1:32">
      <c r="B151" s="568"/>
      <c r="C151" s="568"/>
      <c r="D151" s="639" t="s">
        <v>2848</v>
      </c>
      <c r="F151" s="783"/>
      <c r="G151" s="162"/>
      <c r="H151" s="568"/>
      <c r="I151" s="162"/>
      <c r="J151" s="784"/>
      <c r="K151" s="586"/>
      <c r="L151" s="586"/>
      <c r="M151" s="586"/>
      <c r="N151" s="586"/>
      <c r="O151" s="586"/>
      <c r="P151" s="586"/>
      <c r="Q151" s="586"/>
      <c r="R151" s="785"/>
      <c r="S151" s="785"/>
    </row>
    <row r="152" spans="1:32">
      <c r="B152" s="568"/>
      <c r="C152" s="568"/>
      <c r="D152" s="639" t="s">
        <v>2849</v>
      </c>
      <c r="F152" s="783"/>
      <c r="G152" s="162"/>
      <c r="H152" s="568"/>
      <c r="I152" s="568"/>
      <c r="J152" s="784"/>
      <c r="K152" s="586"/>
      <c r="L152" s="586"/>
      <c r="M152" s="586"/>
      <c r="N152" s="586"/>
      <c r="O152" s="586"/>
      <c r="P152" s="586"/>
      <c r="Q152" s="586"/>
      <c r="R152" s="785"/>
      <c r="S152" s="785"/>
    </row>
    <row r="153" spans="1:32">
      <c r="B153" s="568"/>
      <c r="C153" s="568"/>
      <c r="D153" s="639"/>
      <c r="F153" s="783"/>
      <c r="G153" s="162"/>
      <c r="H153" s="568"/>
      <c r="I153" s="568"/>
      <c r="J153" s="784"/>
      <c r="K153" s="586"/>
      <c r="L153" s="586"/>
      <c r="M153" s="586"/>
      <c r="N153" s="586"/>
      <c r="O153" s="586"/>
      <c r="P153" s="586"/>
      <c r="Q153" s="586"/>
      <c r="R153" s="785"/>
      <c r="S153" s="785"/>
    </row>
    <row r="154" spans="1:32" ht="28">
      <c r="A154" s="37" t="s">
        <v>2850</v>
      </c>
      <c r="B154" s="37"/>
      <c r="C154" s="37" t="s">
        <v>16</v>
      </c>
      <c r="D154" s="59" t="s">
        <v>2851</v>
      </c>
      <c r="E154" s="37"/>
      <c r="F154" s="77"/>
      <c r="G154" s="59"/>
      <c r="H154" s="116"/>
      <c r="I154" s="116"/>
      <c r="J154" s="84"/>
      <c r="K154" s="76" t="s">
        <v>23</v>
      </c>
      <c r="L154" s="76"/>
      <c r="M154" s="76"/>
      <c r="N154" s="76"/>
      <c r="O154" s="76"/>
      <c r="P154" s="76"/>
      <c r="Q154" s="76"/>
      <c r="R154" s="77" t="s">
        <v>2852</v>
      </c>
      <c r="S154" s="785"/>
    </row>
    <row r="155" spans="1:32" ht="28">
      <c r="A155" s="37" t="s">
        <v>2853</v>
      </c>
      <c r="B155" s="37"/>
      <c r="C155" s="37" t="s">
        <v>16</v>
      </c>
      <c r="D155" s="59" t="s">
        <v>2854</v>
      </c>
      <c r="E155" s="37"/>
      <c r="F155" s="77"/>
      <c r="G155" s="59"/>
      <c r="H155" s="116"/>
      <c r="I155" s="116"/>
      <c r="J155" s="786"/>
      <c r="K155" s="76"/>
      <c r="L155" s="76"/>
      <c r="M155" s="76" t="s">
        <v>23</v>
      </c>
      <c r="N155" s="76"/>
      <c r="O155" s="76"/>
      <c r="P155" s="76"/>
      <c r="Q155" s="76"/>
      <c r="R155" s="787"/>
      <c r="S155" s="785"/>
    </row>
    <row r="156" spans="1:32" ht="28">
      <c r="A156" s="37" t="s">
        <v>2855</v>
      </c>
      <c r="B156" s="37"/>
      <c r="C156" s="37" t="s">
        <v>16</v>
      </c>
      <c r="D156" s="59" t="s">
        <v>2856</v>
      </c>
      <c r="E156" s="37"/>
      <c r="F156" s="77"/>
      <c r="G156" s="59"/>
      <c r="H156" s="116"/>
      <c r="I156" s="116"/>
      <c r="J156" s="84"/>
      <c r="K156" s="76"/>
      <c r="L156" s="76"/>
      <c r="M156" s="76"/>
      <c r="N156" s="76"/>
      <c r="O156" s="76"/>
      <c r="P156" s="76"/>
      <c r="Q156" s="76" t="s">
        <v>23</v>
      </c>
      <c r="R156" s="788"/>
      <c r="S156" s="789"/>
    </row>
    <row r="157" spans="1:32" ht="28">
      <c r="A157" s="37" t="s">
        <v>2857</v>
      </c>
      <c r="B157" s="37"/>
      <c r="C157" s="37" t="s">
        <v>16</v>
      </c>
      <c r="D157" s="59" t="s">
        <v>2858</v>
      </c>
      <c r="E157" s="37"/>
      <c r="F157" s="77"/>
      <c r="G157" s="59"/>
      <c r="H157" s="116"/>
      <c r="I157" s="116"/>
      <c r="J157" s="84"/>
      <c r="K157" s="76"/>
      <c r="L157" s="76"/>
      <c r="M157" s="76"/>
      <c r="N157" s="76"/>
      <c r="O157" s="76"/>
      <c r="P157" s="76"/>
      <c r="Q157" s="76" t="s">
        <v>64</v>
      </c>
      <c r="R157" s="788" t="s">
        <v>2859</v>
      </c>
      <c r="S157" s="789"/>
    </row>
    <row r="158" spans="1:32" ht="28">
      <c r="A158" s="37" t="s">
        <v>2860</v>
      </c>
      <c r="B158" s="37"/>
      <c r="C158" s="37" t="s">
        <v>2861</v>
      </c>
      <c r="D158" s="59" t="s">
        <v>2862</v>
      </c>
      <c r="E158" s="37"/>
      <c r="F158" s="77"/>
      <c r="G158" s="59"/>
      <c r="H158" s="116"/>
      <c r="I158" s="116"/>
      <c r="J158" s="84"/>
      <c r="K158" s="76"/>
      <c r="L158" s="76"/>
      <c r="M158" s="76"/>
      <c r="N158" s="76"/>
      <c r="O158" s="76"/>
      <c r="P158" s="76"/>
      <c r="Q158" s="76" t="s">
        <v>23</v>
      </c>
      <c r="R158" s="788"/>
      <c r="S158" s="789"/>
    </row>
    <row r="159" spans="1:32" ht="42">
      <c r="A159" s="37" t="s">
        <v>2863</v>
      </c>
      <c r="B159" s="37"/>
      <c r="C159" s="37" t="s">
        <v>2861</v>
      </c>
      <c r="D159" s="59" t="s">
        <v>2864</v>
      </c>
      <c r="E159" s="37"/>
      <c r="F159" s="77"/>
      <c r="G159" s="59"/>
      <c r="H159" s="116"/>
      <c r="I159" s="116"/>
      <c r="J159" s="84"/>
      <c r="K159" s="76"/>
      <c r="L159" s="76"/>
      <c r="M159" s="76"/>
      <c r="N159" s="76"/>
      <c r="O159" s="76"/>
      <c r="P159" s="76"/>
      <c r="Q159" s="76" t="s">
        <v>23</v>
      </c>
      <c r="R159" s="788"/>
      <c r="S159" s="789"/>
    </row>
    <row r="160" spans="1:32" ht="42">
      <c r="A160" s="37" t="s">
        <v>2865</v>
      </c>
      <c r="B160" s="37"/>
      <c r="C160" s="37" t="s">
        <v>16</v>
      </c>
      <c r="D160" s="59" t="s">
        <v>2866</v>
      </c>
      <c r="E160" s="37"/>
      <c r="F160" s="59" t="s">
        <v>2867</v>
      </c>
      <c r="G160" s="59" t="s">
        <v>2868</v>
      </c>
      <c r="H160" s="116"/>
      <c r="I160" s="116"/>
      <c r="J160" s="84"/>
      <c r="K160" s="76" t="s">
        <v>23</v>
      </c>
      <c r="L160" s="76"/>
      <c r="M160" s="76"/>
      <c r="N160" s="76"/>
      <c r="O160" s="76"/>
      <c r="P160" s="76"/>
      <c r="Q160" s="76"/>
      <c r="R160" s="788"/>
      <c r="S160" s="789"/>
    </row>
    <row r="161" spans="1:19" ht="42">
      <c r="A161" s="37" t="s">
        <v>2869</v>
      </c>
      <c r="B161" s="37"/>
      <c r="C161" s="37" t="s">
        <v>16</v>
      </c>
      <c r="D161" s="59" t="s">
        <v>2870</v>
      </c>
      <c r="E161" s="37"/>
      <c r="F161" s="100" t="s">
        <v>2871</v>
      </c>
      <c r="G161" s="59"/>
      <c r="H161" s="116"/>
      <c r="I161" s="116"/>
      <c r="J161" s="84"/>
      <c r="K161" s="76" t="s">
        <v>23</v>
      </c>
      <c r="L161" s="76"/>
      <c r="M161" s="76"/>
      <c r="N161" s="76"/>
      <c r="O161" s="76"/>
      <c r="P161" s="76"/>
      <c r="Q161" s="76"/>
      <c r="R161" s="788"/>
      <c r="S161" s="789"/>
    </row>
    <row r="162" spans="1:19" ht="28">
      <c r="A162" s="37" t="s">
        <v>2872</v>
      </c>
      <c r="B162" s="37"/>
      <c r="C162" s="37" t="s">
        <v>16</v>
      </c>
      <c r="D162" s="59" t="s">
        <v>2873</v>
      </c>
      <c r="E162" s="37"/>
      <c r="F162" s="100" t="s">
        <v>2871</v>
      </c>
      <c r="G162" s="59"/>
      <c r="H162" s="116"/>
      <c r="I162" s="116"/>
      <c r="J162" s="84"/>
      <c r="K162" s="76" t="s">
        <v>23</v>
      </c>
      <c r="L162" s="76"/>
      <c r="M162" s="76"/>
      <c r="N162" s="76"/>
      <c r="O162" s="76"/>
      <c r="P162" s="76"/>
      <c r="Q162" s="76"/>
      <c r="R162" s="788" t="s">
        <v>2874</v>
      </c>
      <c r="S162" s="789"/>
    </row>
    <row r="163" spans="1:19" ht="42">
      <c r="A163" s="37" t="s">
        <v>2875</v>
      </c>
      <c r="B163" s="37"/>
      <c r="C163" s="37" t="s">
        <v>16</v>
      </c>
      <c r="D163" s="59" t="s">
        <v>2876</v>
      </c>
      <c r="E163" s="37"/>
      <c r="F163" s="100" t="s">
        <v>2871</v>
      </c>
      <c r="G163" s="59"/>
      <c r="H163" s="116"/>
      <c r="I163" s="116"/>
      <c r="J163" s="84"/>
      <c r="K163" s="76" t="s">
        <v>23</v>
      </c>
      <c r="L163" s="76"/>
      <c r="M163" s="76"/>
      <c r="N163" s="76"/>
      <c r="O163" s="76"/>
      <c r="P163" s="76"/>
      <c r="Q163" s="76"/>
      <c r="R163" s="790" t="s">
        <v>2877</v>
      </c>
      <c r="S163" s="789"/>
    </row>
    <row r="164" spans="1:19" ht="70">
      <c r="A164" s="37" t="s">
        <v>2878</v>
      </c>
      <c r="B164" s="37"/>
      <c r="C164" s="37" t="s">
        <v>16</v>
      </c>
      <c r="D164" s="59" t="s">
        <v>2879</v>
      </c>
      <c r="E164" s="37"/>
      <c r="F164" s="77" t="s">
        <v>2880</v>
      </c>
      <c r="G164" s="59"/>
      <c r="H164" s="116"/>
      <c r="I164" s="116"/>
      <c r="J164" s="84" t="s">
        <v>23</v>
      </c>
      <c r="K164" s="76"/>
      <c r="L164" s="76"/>
      <c r="M164" s="76"/>
      <c r="N164" s="76"/>
      <c r="O164" s="76"/>
      <c r="P164" s="76"/>
      <c r="Q164" s="76"/>
      <c r="R164" s="788"/>
      <c r="S164" s="789"/>
    </row>
    <row r="165" spans="1:19" ht="56">
      <c r="A165" s="37" t="s">
        <v>2881</v>
      </c>
      <c r="B165" s="37"/>
      <c r="C165" s="37" t="s">
        <v>16</v>
      </c>
      <c r="D165" s="59" t="s">
        <v>2882</v>
      </c>
      <c r="E165" s="37"/>
      <c r="F165" s="77"/>
      <c r="G165" s="59"/>
      <c r="H165" s="116"/>
      <c r="I165" s="116"/>
      <c r="J165" s="84" t="s">
        <v>184</v>
      </c>
      <c r="K165" s="76"/>
      <c r="L165" s="76"/>
      <c r="M165" s="76"/>
      <c r="N165" s="76"/>
      <c r="O165" s="76"/>
      <c r="P165" s="76"/>
      <c r="Q165" s="76" t="s">
        <v>64</v>
      </c>
      <c r="R165" s="788" t="s">
        <v>2883</v>
      </c>
      <c r="S165" s="789"/>
    </row>
    <row r="166" spans="1:19" ht="28">
      <c r="A166" s="37" t="s">
        <v>2884</v>
      </c>
      <c r="B166" s="37"/>
      <c r="C166" s="37" t="s">
        <v>16</v>
      </c>
      <c r="D166" s="59" t="s">
        <v>2885</v>
      </c>
      <c r="E166" s="37"/>
      <c r="F166" s="87" t="s">
        <v>2886</v>
      </c>
      <c r="G166" s="59"/>
      <c r="H166" s="116"/>
      <c r="I166" s="116"/>
      <c r="J166" s="84"/>
      <c r="K166" s="76"/>
      <c r="L166" s="76"/>
      <c r="M166" s="76"/>
      <c r="N166" s="76"/>
      <c r="O166" s="76"/>
      <c r="P166" s="76"/>
      <c r="Q166" s="76" t="s">
        <v>23</v>
      </c>
      <c r="R166" s="788" t="s">
        <v>2887</v>
      </c>
      <c r="S166" s="789"/>
    </row>
    <row r="167" spans="1:19" ht="28">
      <c r="A167" s="37" t="s">
        <v>2888</v>
      </c>
      <c r="B167" s="37"/>
      <c r="C167" s="37" t="s">
        <v>16</v>
      </c>
      <c r="D167" s="74" t="s">
        <v>2889</v>
      </c>
      <c r="E167" s="87"/>
      <c r="F167" s="87"/>
      <c r="G167" s="87"/>
      <c r="H167" s="87"/>
      <c r="I167" s="87"/>
      <c r="J167" s="76" t="s">
        <v>184</v>
      </c>
      <c r="K167" s="76"/>
      <c r="L167" s="76"/>
      <c r="M167" s="76"/>
      <c r="N167" s="76"/>
      <c r="O167" s="76"/>
      <c r="P167" s="76"/>
      <c r="Q167" s="76" t="s">
        <v>64</v>
      </c>
      <c r="R167" s="791" t="s">
        <v>633</v>
      </c>
      <c r="S167" s="789"/>
    </row>
    <row r="168" spans="1:19" ht="28">
      <c r="A168" s="37" t="s">
        <v>2890</v>
      </c>
      <c r="B168" s="37"/>
      <c r="C168" s="37" t="s">
        <v>16</v>
      </c>
      <c r="D168" s="74" t="s">
        <v>2891</v>
      </c>
      <c r="E168" s="87"/>
      <c r="F168" s="87"/>
      <c r="G168" s="87"/>
      <c r="H168" s="87"/>
      <c r="I168" s="87"/>
      <c r="J168" s="76" t="s">
        <v>184</v>
      </c>
      <c r="K168" s="76"/>
      <c r="L168" s="76"/>
      <c r="M168" s="76"/>
      <c r="N168" s="76"/>
      <c r="O168" s="76"/>
      <c r="P168" s="76"/>
      <c r="Q168" s="76" t="s">
        <v>64</v>
      </c>
      <c r="R168" s="791" t="s">
        <v>2892</v>
      </c>
      <c r="S168" s="789"/>
    </row>
    <row r="169" spans="1:19" ht="28">
      <c r="A169" s="37" t="s">
        <v>2893</v>
      </c>
      <c r="B169" s="37"/>
      <c r="C169" s="37" t="s">
        <v>16</v>
      </c>
      <c r="D169" s="74" t="s">
        <v>2894</v>
      </c>
      <c r="E169" s="87"/>
      <c r="F169" s="87" t="s">
        <v>2895</v>
      </c>
      <c r="G169" s="87"/>
      <c r="H169" s="87"/>
      <c r="I169" s="87"/>
      <c r="J169" s="76"/>
      <c r="K169" s="76"/>
      <c r="L169" s="76"/>
      <c r="M169" s="76"/>
      <c r="N169" s="76"/>
      <c r="O169" s="76"/>
      <c r="P169" s="76"/>
      <c r="Q169" s="76" t="s">
        <v>23</v>
      </c>
      <c r="R169" s="788" t="s">
        <v>2887</v>
      </c>
      <c r="S169" s="789"/>
    </row>
    <row r="170" spans="1:19" ht="28">
      <c r="A170" s="37" t="s">
        <v>2896</v>
      </c>
      <c r="B170" s="37"/>
      <c r="C170" s="37" t="s">
        <v>16</v>
      </c>
      <c r="D170" s="74" t="s">
        <v>2897</v>
      </c>
      <c r="E170" s="87"/>
      <c r="F170" s="87" t="s">
        <v>2898</v>
      </c>
      <c r="G170" s="87"/>
      <c r="H170" s="87"/>
      <c r="I170" s="87"/>
      <c r="J170" s="76" t="s">
        <v>184</v>
      </c>
      <c r="K170" s="76"/>
      <c r="L170" s="76"/>
      <c r="M170" s="76"/>
      <c r="N170" s="76"/>
      <c r="O170" s="76"/>
      <c r="P170" s="76"/>
      <c r="Q170" s="76" t="s">
        <v>64</v>
      </c>
      <c r="R170" s="791" t="s">
        <v>633</v>
      </c>
      <c r="S170" s="789"/>
    </row>
    <row r="171" spans="1:19" ht="28">
      <c r="A171" s="37" t="s">
        <v>2899</v>
      </c>
      <c r="B171" s="37"/>
      <c r="C171" s="37" t="s">
        <v>16</v>
      </c>
      <c r="D171" s="74" t="s">
        <v>2900</v>
      </c>
      <c r="E171" s="87"/>
      <c r="F171" s="87" t="s">
        <v>2898</v>
      </c>
      <c r="G171" s="87"/>
      <c r="H171" s="87"/>
      <c r="I171" s="87"/>
      <c r="J171" s="76" t="s">
        <v>184</v>
      </c>
      <c r="K171" s="76"/>
      <c r="L171" s="76"/>
      <c r="M171" s="76"/>
      <c r="N171" s="76"/>
      <c r="O171" s="76"/>
      <c r="P171" s="76"/>
      <c r="Q171" s="76" t="s">
        <v>64</v>
      </c>
      <c r="R171" s="791" t="s">
        <v>2883</v>
      </c>
      <c r="S171" s="789"/>
    </row>
    <row r="172" spans="1:19" ht="28">
      <c r="A172" s="37" t="s">
        <v>2901</v>
      </c>
      <c r="B172" s="37"/>
      <c r="C172" s="37" t="s">
        <v>1284</v>
      </c>
      <c r="D172" s="74" t="s">
        <v>2902</v>
      </c>
      <c r="E172" s="87"/>
      <c r="F172" s="87"/>
      <c r="G172" s="87"/>
      <c r="H172" s="87"/>
      <c r="I172" s="87"/>
      <c r="J172" s="76"/>
      <c r="K172" s="76"/>
      <c r="L172" s="76"/>
      <c r="M172" s="76" t="s">
        <v>23</v>
      </c>
      <c r="N172" s="76"/>
      <c r="O172" s="76"/>
      <c r="P172" s="76"/>
      <c r="Q172" s="76"/>
      <c r="R172" s="791"/>
      <c r="S172" s="789"/>
    </row>
    <row r="173" spans="1:19" ht="56">
      <c r="A173" s="37" t="s">
        <v>2903</v>
      </c>
      <c r="B173" s="37"/>
      <c r="C173" s="37" t="s">
        <v>1284</v>
      </c>
      <c r="D173" s="74" t="s">
        <v>2904</v>
      </c>
      <c r="E173" s="87"/>
      <c r="F173" s="74" t="s">
        <v>2905</v>
      </c>
      <c r="G173" s="87"/>
      <c r="H173" s="87"/>
      <c r="I173" s="87"/>
      <c r="J173" s="76"/>
      <c r="K173" s="76"/>
      <c r="L173" s="76" t="s">
        <v>23</v>
      </c>
      <c r="M173" s="76"/>
      <c r="N173" s="76"/>
      <c r="O173" s="76"/>
      <c r="P173" s="76"/>
      <c r="Q173" s="76"/>
      <c r="R173" s="791" t="s">
        <v>2906</v>
      </c>
      <c r="S173" s="789"/>
    </row>
    <row r="174" spans="1:19" ht="42">
      <c r="A174" s="37" t="s">
        <v>2907</v>
      </c>
      <c r="B174" s="37"/>
      <c r="C174" s="37" t="s">
        <v>1284</v>
      </c>
      <c r="D174" s="74" t="s">
        <v>2908</v>
      </c>
      <c r="E174" s="87"/>
      <c r="F174" s="87"/>
      <c r="G174" s="87"/>
      <c r="H174" s="87"/>
      <c r="I174" s="87"/>
      <c r="J174" s="76"/>
      <c r="K174" s="76"/>
      <c r="L174" s="76"/>
      <c r="M174" s="76"/>
      <c r="N174" s="76"/>
      <c r="O174" s="76"/>
      <c r="P174" s="76"/>
      <c r="Q174" s="76" t="s">
        <v>64</v>
      </c>
      <c r="R174" s="791"/>
      <c r="S174" s="789"/>
    </row>
    <row r="175" spans="1:19" ht="42">
      <c r="A175" s="37" t="s">
        <v>2909</v>
      </c>
      <c r="B175" s="37"/>
      <c r="C175" s="37" t="s">
        <v>1284</v>
      </c>
      <c r="D175" s="74" t="s">
        <v>2910</v>
      </c>
      <c r="E175" s="87"/>
      <c r="F175" s="87"/>
      <c r="G175" s="87"/>
      <c r="H175" s="87"/>
      <c r="I175" s="87"/>
      <c r="J175" s="76" t="s">
        <v>184</v>
      </c>
      <c r="K175" s="76"/>
      <c r="L175" s="76"/>
      <c r="M175" s="76"/>
      <c r="N175" s="76"/>
      <c r="O175" s="76"/>
      <c r="P175" s="76"/>
      <c r="Q175" s="76" t="s">
        <v>64</v>
      </c>
      <c r="R175" s="791" t="s">
        <v>633</v>
      </c>
      <c r="S175" s="789"/>
    </row>
  </sheetData>
  <mergeCells count="16">
    <mergeCell ref="E72:E76"/>
    <mergeCell ref="E77:E83"/>
    <mergeCell ref="E90:E95"/>
    <mergeCell ref="E96:E99"/>
    <mergeCell ref="A1:A2"/>
    <mergeCell ref="B1:B2"/>
    <mergeCell ref="C1:C2"/>
    <mergeCell ref="D1:D2"/>
    <mergeCell ref="E1:E2"/>
    <mergeCell ref="S1:S2"/>
    <mergeCell ref="J1:Q1"/>
    <mergeCell ref="F1:F2"/>
    <mergeCell ref="G1:G2"/>
    <mergeCell ref="H1:H2"/>
    <mergeCell ref="I1:I2"/>
    <mergeCell ref="R1:R2"/>
  </mergeCells>
  <phoneticPr fontId="106" type="noConversion"/>
  <dataValidations count="7">
    <dataValidation type="list" allowBlank="1" showInputMessage="1" showErrorMessage="1" sqref="M1:M1048576 N3:Q175 L3:L175 J1:K1048576" xr:uid="{00000000-0002-0000-1000-000000000000}">
      <formula1>"PASS,FAIL,NT,BLOCK,"</formula1>
    </dataValidation>
    <dataValidation type="list" allowBlank="1" showInputMessage="1" showErrorMessage="1" sqref="C3:C67 C71:C153" xr:uid="{00000000-0002-0000-1000-000003000000}">
      <formula1>"Basicfunction,Cross-module,Pressure,Performance"</formula1>
    </dataValidation>
    <dataValidation type="list" showInputMessage="1" showErrorMessage="1" sqref="C68:C70 C154:C175" xr:uid="{00000000-0002-0000-1000-000004000000}">
      <formula1>"Basicfunction,Cross-module,Pressure,Performance"</formula1>
    </dataValidation>
    <dataValidation type="list" allowBlank="1" showInputMessage="1" showErrorMessage="1" sqref="H3:H35 I155 H150:H166" xr:uid="{00000000-0002-0000-1000-000007000000}">
      <formula1>"P0,P1,P2"</formula1>
    </dataValidation>
    <dataValidation type="list" showInputMessage="1" showErrorMessage="1" sqref="H47:H149" xr:uid="{00000000-0002-0000-1000-000008000000}">
      <formula1>"P0,P1,P2"</formula1>
    </dataValidation>
    <dataValidation type="list" allowBlank="1" showInputMessage="1" showErrorMessage="1" sqref="I3:I35 I156:I166 I150:I154" xr:uid="{00000000-0002-0000-1000-00000A000000}">
      <formula1>"Yes,No"</formula1>
    </dataValidation>
    <dataValidation type="list" showInputMessage="1" showErrorMessage="1" sqref="I47:I149" xr:uid="{00000000-0002-0000-1000-00000B000000}">
      <formula1>"Yes,No"</formula1>
    </dataValidation>
  </dataValidations>
  <hyperlinks>
    <hyperlink ref="S15" r:id="rId1" xr:uid="{00000000-0004-0000-1000-000000000000}"/>
    <hyperlink ref="S19" r:id="rId2" xr:uid="{00000000-0004-0000-1000-000001000000}"/>
    <hyperlink ref="S67" r:id="rId3" xr:uid="{00000000-0004-0000-1000-000002000000}"/>
    <hyperlink ref="S85" r:id="rId4" xr:uid="{00000000-0004-0000-1000-000003000000}"/>
  </hyperlinks>
  <pageMargins left="0.7" right="0.7" top="0.75" bottom="0.75" header="0.3" footer="0.3"/>
  <drawing r:id="rId5"/>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codeName="兼容性">
    <tabColor rgb="FFFFFFFF"/>
  </sheetPr>
  <dimension ref="A1:Q35"/>
  <sheetViews>
    <sheetView workbookViewId="0">
      <pane ySplit="2" topLeftCell="A3" activePane="bottomLeft" state="frozen"/>
      <selection pane="bottomLeft"/>
    </sheetView>
  </sheetViews>
  <sheetFormatPr defaultRowHeight="14"/>
  <cols>
    <col min="1" max="1" width="33.54296875" style="37" customWidth="1"/>
    <col min="2" max="2" width="13.36328125" style="37" customWidth="1"/>
    <col min="4" max="4" width="33.81640625" style="37" customWidth="1"/>
    <col min="5" max="5" width="26.81640625" style="37" customWidth="1"/>
    <col min="6" max="6" width="61.36328125" style="37" customWidth="1"/>
    <col min="7" max="7" width="51.26953125" style="37" customWidth="1"/>
    <col min="8" max="8" width="13.36328125" style="37" customWidth="1"/>
    <col min="10" max="10" width="13.1796875" style="37" customWidth="1"/>
    <col min="11" max="11" width="13.453125" style="37" customWidth="1"/>
    <col min="12" max="15" width="13.7265625" style="37" customWidth="1"/>
    <col min="16" max="17" width="27.08984375" style="59" customWidth="1"/>
  </cols>
  <sheetData>
    <row r="1" spans="1:17" ht="33" customHeight="1">
      <c r="A1" s="1032" t="s">
        <v>0</v>
      </c>
      <c r="B1" s="1032" t="s">
        <v>2</v>
      </c>
      <c r="C1" s="1032" t="s">
        <v>1</v>
      </c>
      <c r="D1" s="1032" t="s">
        <v>3</v>
      </c>
      <c r="E1" s="1032" t="s">
        <v>4</v>
      </c>
      <c r="F1" s="1032" t="s">
        <v>5</v>
      </c>
      <c r="G1" s="1032" t="s">
        <v>6</v>
      </c>
      <c r="H1" s="1032" t="s">
        <v>7</v>
      </c>
      <c r="I1" s="1032" t="s">
        <v>8</v>
      </c>
      <c r="J1" s="1015" t="s">
        <v>9</v>
      </c>
      <c r="K1" s="990"/>
      <c r="L1" s="990"/>
      <c r="M1" s="719"/>
      <c r="N1" s="719"/>
      <c r="O1" s="719"/>
      <c r="P1" s="1046" t="s">
        <v>10</v>
      </c>
      <c r="Q1" s="1045" t="s">
        <v>11</v>
      </c>
    </row>
    <row r="2" spans="1:17" ht="48.75" customHeight="1">
      <c r="A2" s="987"/>
      <c r="B2" s="987"/>
      <c r="C2" s="987"/>
      <c r="D2" s="987"/>
      <c r="E2" s="987"/>
      <c r="F2" s="987"/>
      <c r="G2" s="987"/>
      <c r="H2" s="987"/>
      <c r="I2" s="987"/>
      <c r="J2" s="95" t="s">
        <v>2216</v>
      </c>
      <c r="K2" s="95" t="s">
        <v>2217</v>
      </c>
      <c r="L2" s="96" t="s">
        <v>426</v>
      </c>
      <c r="M2" s="3" t="s">
        <v>2218</v>
      </c>
      <c r="N2" s="3" t="s">
        <v>300</v>
      </c>
      <c r="O2" s="3" t="s">
        <v>14</v>
      </c>
      <c r="P2" s="993"/>
      <c r="Q2" s="984"/>
    </row>
    <row r="3" spans="1:17" ht="42">
      <c r="A3" s="59" t="s">
        <v>2219</v>
      </c>
      <c r="B3" s="582" t="s">
        <v>16</v>
      </c>
      <c r="C3" s="147"/>
      <c r="D3" s="582" t="s">
        <v>2220</v>
      </c>
      <c r="E3" s="582" t="s">
        <v>2221</v>
      </c>
      <c r="F3" s="582" t="s">
        <v>2222</v>
      </c>
      <c r="G3" s="582" t="s">
        <v>2223</v>
      </c>
      <c r="H3" s="59" t="s">
        <v>21</v>
      </c>
      <c r="I3" s="582" t="s">
        <v>22</v>
      </c>
      <c r="J3" s="76" t="s">
        <v>23</v>
      </c>
      <c r="K3" s="76"/>
      <c r="L3" s="76"/>
      <c r="M3" s="76"/>
      <c r="N3" s="175"/>
      <c r="O3" s="175"/>
      <c r="P3" s="220" t="s">
        <v>3246</v>
      </c>
    </row>
    <row r="4" spans="1:17" ht="56">
      <c r="A4" s="59" t="s">
        <v>2224</v>
      </c>
      <c r="B4" s="302" t="s">
        <v>16</v>
      </c>
      <c r="C4" s="59"/>
      <c r="D4" s="582" t="s">
        <v>2225</v>
      </c>
      <c r="E4" s="582" t="s">
        <v>2226</v>
      </c>
      <c r="F4" s="582" t="s">
        <v>2227</v>
      </c>
      <c r="G4" s="582" t="s">
        <v>2228</v>
      </c>
      <c r="H4" s="59" t="s">
        <v>21</v>
      </c>
      <c r="I4" s="582" t="s">
        <v>22</v>
      </c>
      <c r="J4" s="76" t="s">
        <v>64</v>
      </c>
      <c r="K4" s="76"/>
      <c r="L4" s="76" t="s">
        <v>23</v>
      </c>
      <c r="M4" s="76"/>
      <c r="N4" s="175"/>
      <c r="O4" s="175"/>
      <c r="P4" s="220" t="s">
        <v>2229</v>
      </c>
      <c r="Q4" s="227" t="s">
        <v>3247</v>
      </c>
    </row>
    <row r="5" spans="1:17" ht="42">
      <c r="A5" s="582" t="s">
        <v>2230</v>
      </c>
      <c r="B5" s="582" t="s">
        <v>16</v>
      </c>
      <c r="C5" s="37"/>
      <c r="D5" s="582" t="s">
        <v>2225</v>
      </c>
      <c r="E5" s="582" t="s">
        <v>2231</v>
      </c>
      <c r="F5" s="582" t="s">
        <v>2232</v>
      </c>
      <c r="G5" s="582" t="s">
        <v>2228</v>
      </c>
      <c r="H5" s="59" t="s">
        <v>21</v>
      </c>
      <c r="I5" s="582" t="s">
        <v>22</v>
      </c>
      <c r="J5" s="76" t="s">
        <v>64</v>
      </c>
      <c r="K5" s="76"/>
      <c r="L5" s="76" t="s">
        <v>23</v>
      </c>
      <c r="M5" s="76"/>
      <c r="N5" s="175"/>
      <c r="O5" s="175"/>
      <c r="P5" s="220"/>
      <c r="Q5" s="227" t="s">
        <v>3248</v>
      </c>
    </row>
    <row r="6" spans="1:17" ht="42">
      <c r="A6" s="582" t="s">
        <v>2233</v>
      </c>
      <c r="B6" s="582" t="s">
        <v>16</v>
      </c>
      <c r="C6" s="37"/>
      <c r="D6" s="582" t="s">
        <v>2225</v>
      </c>
      <c r="E6" s="582" t="s">
        <v>2234</v>
      </c>
      <c r="F6" s="582" t="s">
        <v>2235</v>
      </c>
      <c r="G6" s="582" t="s">
        <v>2228</v>
      </c>
      <c r="H6" s="59" t="s">
        <v>21</v>
      </c>
      <c r="I6" s="59" t="s">
        <v>22</v>
      </c>
      <c r="J6" s="76" t="s">
        <v>23</v>
      </c>
      <c r="K6" s="76"/>
      <c r="L6" s="76"/>
      <c r="M6" s="720"/>
      <c r="N6" s="603"/>
      <c r="O6" s="603"/>
      <c r="P6" s="721" t="s">
        <v>2236</v>
      </c>
      <c r="Q6" s="100"/>
    </row>
    <row r="7" spans="1:17" ht="56">
      <c r="A7" s="582" t="s">
        <v>2237</v>
      </c>
      <c r="B7" s="582" t="s">
        <v>16</v>
      </c>
      <c r="C7" s="37"/>
      <c r="D7" s="582" t="s">
        <v>2225</v>
      </c>
      <c r="E7" s="582" t="s">
        <v>2238</v>
      </c>
      <c r="F7" s="582" t="s">
        <v>2239</v>
      </c>
      <c r="G7" s="582" t="s">
        <v>2228</v>
      </c>
      <c r="H7" s="59" t="s">
        <v>21</v>
      </c>
      <c r="I7" s="59" t="s">
        <v>22</v>
      </c>
      <c r="J7" s="76" t="s">
        <v>64</v>
      </c>
      <c r="K7" s="76"/>
      <c r="L7" s="76" t="s">
        <v>23</v>
      </c>
      <c r="M7" s="720"/>
      <c r="N7" s="603"/>
      <c r="O7" s="603"/>
      <c r="P7" s="721" t="s">
        <v>2240</v>
      </c>
      <c r="Q7" s="227" t="s">
        <v>3249</v>
      </c>
    </row>
    <row r="8" spans="1:17" ht="56">
      <c r="A8" s="582" t="s">
        <v>2241</v>
      </c>
      <c r="B8" s="582" t="s">
        <v>16</v>
      </c>
      <c r="C8" s="37"/>
      <c r="D8" s="582" t="s">
        <v>2225</v>
      </c>
      <c r="E8" s="582" t="s">
        <v>2242</v>
      </c>
      <c r="F8" s="582" t="s">
        <v>2243</v>
      </c>
      <c r="G8" s="582" t="s">
        <v>2228</v>
      </c>
      <c r="H8" s="59" t="s">
        <v>21</v>
      </c>
      <c r="I8" s="59" t="s">
        <v>22</v>
      </c>
      <c r="J8" s="76" t="s">
        <v>64</v>
      </c>
      <c r="K8" s="76" t="s">
        <v>23</v>
      </c>
      <c r="L8" s="76"/>
      <c r="M8" s="720"/>
      <c r="N8" s="603"/>
      <c r="O8" s="603"/>
      <c r="P8" s="721" t="s">
        <v>2244</v>
      </c>
      <c r="Q8" s="100"/>
    </row>
    <row r="9" spans="1:17" ht="42">
      <c r="A9" s="582" t="s">
        <v>2245</v>
      </c>
      <c r="B9" s="582" t="s">
        <v>16</v>
      </c>
      <c r="C9" s="37"/>
      <c r="D9" s="582" t="s">
        <v>2225</v>
      </c>
      <c r="E9" s="582" t="s">
        <v>2246</v>
      </c>
      <c r="F9" s="582" t="s">
        <v>2247</v>
      </c>
      <c r="G9" s="582" t="s">
        <v>2228</v>
      </c>
      <c r="H9" s="582" t="s">
        <v>21</v>
      </c>
      <c r="I9" s="59" t="s">
        <v>22</v>
      </c>
      <c r="J9" s="76"/>
      <c r="K9" s="76"/>
      <c r="L9" s="76"/>
      <c r="M9" s="76" t="s">
        <v>23</v>
      </c>
      <c r="N9" s="175"/>
      <c r="O9" s="175"/>
      <c r="P9" s="220"/>
      <c r="Q9" s="59" t="s">
        <v>2248</v>
      </c>
    </row>
    <row r="10" spans="1:17" ht="42">
      <c r="A10" s="582" t="s">
        <v>2249</v>
      </c>
      <c r="B10" s="582" t="s">
        <v>16</v>
      </c>
      <c r="C10" s="37"/>
      <c r="D10" s="582" t="s">
        <v>2225</v>
      </c>
      <c r="E10" s="582" t="s">
        <v>2250</v>
      </c>
      <c r="F10" s="582" t="s">
        <v>2251</v>
      </c>
      <c r="G10" s="582" t="s">
        <v>2228</v>
      </c>
      <c r="H10" s="582" t="s">
        <v>21</v>
      </c>
      <c r="I10" s="59" t="s">
        <v>22</v>
      </c>
      <c r="J10" s="76" t="s">
        <v>64</v>
      </c>
      <c r="K10" s="76"/>
      <c r="L10" s="76"/>
      <c r="M10" s="76"/>
      <c r="N10" s="175" t="s">
        <v>23</v>
      </c>
      <c r="O10" s="175"/>
      <c r="P10" s="220"/>
      <c r="Q10" s="227" t="s">
        <v>3250</v>
      </c>
    </row>
    <row r="11" spans="1:17" ht="42">
      <c r="A11" s="582" t="s">
        <v>2252</v>
      </c>
      <c r="B11" s="37" t="s">
        <v>16</v>
      </c>
      <c r="C11" s="37"/>
      <c r="D11" s="582" t="s">
        <v>2225</v>
      </c>
      <c r="E11" s="582" t="s">
        <v>2253</v>
      </c>
      <c r="F11" s="582" t="s">
        <v>2254</v>
      </c>
      <c r="G11" s="59" t="s">
        <v>2228</v>
      </c>
      <c r="H11" s="59" t="s">
        <v>21</v>
      </c>
      <c r="I11" s="59" t="s">
        <v>22</v>
      </c>
      <c r="J11" s="76" t="s">
        <v>23</v>
      </c>
      <c r="K11" s="76"/>
      <c r="L11" s="76"/>
      <c r="M11" s="76"/>
      <c r="N11" s="175"/>
      <c r="O11" s="175"/>
      <c r="P11" s="220"/>
    </row>
    <row r="12" spans="1:17" ht="42">
      <c r="A12" s="582" t="s">
        <v>2255</v>
      </c>
      <c r="B12" s="37" t="s">
        <v>16</v>
      </c>
      <c r="C12" s="37"/>
      <c r="D12" s="582" t="s">
        <v>2225</v>
      </c>
      <c r="E12" s="582" t="s">
        <v>2256</v>
      </c>
      <c r="F12" s="582" t="s">
        <v>2257</v>
      </c>
      <c r="G12" s="582" t="s">
        <v>2228</v>
      </c>
      <c r="H12" s="59" t="s">
        <v>21</v>
      </c>
      <c r="I12" s="59" t="s">
        <v>22</v>
      </c>
      <c r="J12" s="76" t="s">
        <v>64</v>
      </c>
      <c r="K12" s="76"/>
      <c r="L12" s="76"/>
      <c r="M12" s="76" t="s">
        <v>64</v>
      </c>
      <c r="N12" s="175" t="s">
        <v>23</v>
      </c>
      <c r="O12" s="175"/>
      <c r="P12" s="220"/>
      <c r="Q12" s="227" t="s">
        <v>3251</v>
      </c>
    </row>
    <row r="13" spans="1:17" ht="56">
      <c r="A13" s="582" t="s">
        <v>2258</v>
      </c>
      <c r="B13" s="37" t="s">
        <v>16</v>
      </c>
      <c r="C13" s="37"/>
      <c r="D13" s="59" t="s">
        <v>2225</v>
      </c>
      <c r="E13" s="582" t="s">
        <v>2259</v>
      </c>
      <c r="F13" s="582" t="s">
        <v>2260</v>
      </c>
      <c r="G13" s="582" t="s">
        <v>2228</v>
      </c>
      <c r="H13" s="59" t="s">
        <v>21</v>
      </c>
      <c r="I13" s="59" t="s">
        <v>22</v>
      </c>
      <c r="J13" s="76" t="s">
        <v>64</v>
      </c>
      <c r="K13" s="76"/>
      <c r="L13" s="76" t="s">
        <v>23</v>
      </c>
      <c r="M13" s="76"/>
      <c r="N13" s="175"/>
      <c r="O13" s="175"/>
      <c r="P13" s="220"/>
    </row>
    <row r="14" spans="1:17" ht="42">
      <c r="A14" s="582" t="s">
        <v>2261</v>
      </c>
      <c r="B14" s="37" t="s">
        <v>16</v>
      </c>
      <c r="C14" s="37"/>
      <c r="D14" s="59" t="s">
        <v>2225</v>
      </c>
      <c r="E14" s="582" t="s">
        <v>2262</v>
      </c>
      <c r="F14" s="582" t="s">
        <v>2263</v>
      </c>
      <c r="G14" s="582" t="s">
        <v>2228</v>
      </c>
      <c r="H14" s="59" t="s">
        <v>21</v>
      </c>
      <c r="I14" s="59" t="s">
        <v>22</v>
      </c>
      <c r="J14" s="76" t="s">
        <v>23</v>
      </c>
      <c r="K14" s="76"/>
      <c r="L14" s="76"/>
      <c r="M14" s="76"/>
      <c r="N14" s="175"/>
      <c r="O14" s="175"/>
      <c r="P14" s="220"/>
    </row>
    <row r="15" spans="1:17" ht="42">
      <c r="A15" s="582" t="s">
        <v>2264</v>
      </c>
      <c r="B15" s="37" t="s">
        <v>16</v>
      </c>
      <c r="C15" s="37"/>
      <c r="D15" s="59" t="s">
        <v>2225</v>
      </c>
      <c r="E15" s="582" t="s">
        <v>2265</v>
      </c>
      <c r="F15" s="59" t="s">
        <v>2266</v>
      </c>
      <c r="G15" s="59" t="s">
        <v>2228</v>
      </c>
      <c r="H15" s="59" t="s">
        <v>21</v>
      </c>
      <c r="I15" s="59" t="s">
        <v>22</v>
      </c>
      <c r="J15" s="76" t="s">
        <v>64</v>
      </c>
      <c r="K15" s="76"/>
      <c r="L15" s="76"/>
      <c r="M15" s="76" t="s">
        <v>23</v>
      </c>
      <c r="N15" s="175"/>
      <c r="O15" s="175"/>
      <c r="P15" s="220"/>
      <c r="Q15" s="227" t="s">
        <v>3252</v>
      </c>
    </row>
    <row r="16" spans="1:17" ht="42">
      <c r="A16" s="582" t="s">
        <v>2267</v>
      </c>
      <c r="B16" s="37" t="s">
        <v>16</v>
      </c>
      <c r="C16" s="37"/>
      <c r="D16" s="582" t="s">
        <v>2225</v>
      </c>
      <c r="E16" s="582" t="s">
        <v>2268</v>
      </c>
      <c r="F16" s="59" t="s">
        <v>2269</v>
      </c>
      <c r="G16" s="59" t="s">
        <v>2228</v>
      </c>
      <c r="H16" s="59" t="s">
        <v>21</v>
      </c>
      <c r="I16" s="59" t="s">
        <v>22</v>
      </c>
      <c r="J16" s="76" t="s">
        <v>23</v>
      </c>
      <c r="K16" s="76"/>
      <c r="L16" s="76"/>
      <c r="M16" s="76"/>
      <c r="N16" s="175"/>
      <c r="O16" s="175"/>
      <c r="P16" s="220"/>
    </row>
    <row r="17" spans="1:17" ht="56">
      <c r="A17" s="582" t="s">
        <v>2270</v>
      </c>
      <c r="B17" s="37" t="s">
        <v>16</v>
      </c>
      <c r="C17" s="37"/>
      <c r="D17" s="582" t="s">
        <v>2225</v>
      </c>
      <c r="E17" s="582" t="s">
        <v>2271</v>
      </c>
      <c r="F17" s="582" t="s">
        <v>2272</v>
      </c>
      <c r="G17" s="582" t="s">
        <v>2228</v>
      </c>
      <c r="H17" s="59" t="s">
        <v>21</v>
      </c>
      <c r="I17" s="59" t="s">
        <v>22</v>
      </c>
      <c r="J17" s="76" t="s">
        <v>23</v>
      </c>
      <c r="K17" s="76"/>
      <c r="L17" s="76"/>
      <c r="M17" s="76"/>
      <c r="N17" s="175"/>
      <c r="O17" s="175"/>
      <c r="P17" s="220"/>
    </row>
    <row r="18" spans="1:17" ht="42">
      <c r="A18" s="582" t="s">
        <v>2273</v>
      </c>
      <c r="B18" s="37" t="s">
        <v>16</v>
      </c>
      <c r="C18" s="37"/>
      <c r="D18" s="582" t="s">
        <v>2225</v>
      </c>
      <c r="E18" s="582" t="s">
        <v>2274</v>
      </c>
      <c r="F18" s="59" t="s">
        <v>2275</v>
      </c>
      <c r="G18" s="59" t="s">
        <v>2228</v>
      </c>
      <c r="H18" s="59" t="s">
        <v>21</v>
      </c>
      <c r="I18" s="59" t="s">
        <v>22</v>
      </c>
      <c r="J18" s="76" t="s">
        <v>23</v>
      </c>
      <c r="K18" s="76"/>
      <c r="L18" s="76"/>
      <c r="M18" s="76"/>
      <c r="N18" s="175"/>
      <c r="O18" s="175"/>
      <c r="P18" s="220"/>
    </row>
    <row r="19" spans="1:17" ht="56">
      <c r="A19" s="582" t="s">
        <v>2276</v>
      </c>
      <c r="B19" s="37" t="s">
        <v>16</v>
      </c>
      <c r="C19" s="37"/>
      <c r="D19" s="582" t="s">
        <v>2225</v>
      </c>
      <c r="E19" s="582" t="s">
        <v>2277</v>
      </c>
      <c r="F19" s="59" t="s">
        <v>2278</v>
      </c>
      <c r="G19" s="59" t="s">
        <v>2228</v>
      </c>
      <c r="H19" s="59" t="s">
        <v>21</v>
      </c>
      <c r="I19" s="59" t="s">
        <v>22</v>
      </c>
      <c r="J19" s="76" t="s">
        <v>64</v>
      </c>
      <c r="K19" s="76"/>
      <c r="L19" s="76"/>
      <c r="M19" s="76" t="s">
        <v>23</v>
      </c>
      <c r="N19" s="175"/>
      <c r="O19" s="175"/>
      <c r="P19" s="220"/>
    </row>
    <row r="20" spans="1:17" ht="42">
      <c r="A20" s="582" t="s">
        <v>2279</v>
      </c>
      <c r="B20" s="37" t="s">
        <v>16</v>
      </c>
      <c r="C20" s="37"/>
      <c r="D20" s="582" t="s">
        <v>2225</v>
      </c>
      <c r="E20" s="582" t="s">
        <v>2280</v>
      </c>
      <c r="F20" s="59" t="s">
        <v>2281</v>
      </c>
      <c r="G20" s="59" t="s">
        <v>2228</v>
      </c>
      <c r="H20" s="59" t="s">
        <v>21</v>
      </c>
      <c r="I20" s="59" t="s">
        <v>22</v>
      </c>
      <c r="J20" s="76" t="s">
        <v>64</v>
      </c>
      <c r="K20" s="76"/>
      <c r="L20" s="76"/>
      <c r="M20" s="76" t="s">
        <v>64</v>
      </c>
      <c r="N20" s="175" t="s">
        <v>23</v>
      </c>
      <c r="O20" s="175"/>
      <c r="P20" s="220"/>
      <c r="Q20" s="227" t="s">
        <v>3253</v>
      </c>
    </row>
    <row r="21" spans="1:17" ht="42">
      <c r="A21" s="582" t="s">
        <v>2282</v>
      </c>
      <c r="B21" s="37" t="s">
        <v>16</v>
      </c>
      <c r="C21" s="37"/>
      <c r="D21" s="582" t="s">
        <v>2225</v>
      </c>
      <c r="E21" s="582" t="s">
        <v>2283</v>
      </c>
      <c r="F21" s="59" t="s">
        <v>2284</v>
      </c>
      <c r="G21" s="59" t="s">
        <v>2228</v>
      </c>
      <c r="H21" s="59" t="s">
        <v>21</v>
      </c>
      <c r="I21" s="59" t="s">
        <v>22</v>
      </c>
      <c r="J21" s="76" t="s">
        <v>64</v>
      </c>
      <c r="K21" s="76"/>
      <c r="L21" s="76"/>
      <c r="M21" s="76" t="s">
        <v>64</v>
      </c>
      <c r="N21" s="175"/>
      <c r="O21" s="175"/>
      <c r="P21" s="220"/>
      <c r="Q21" s="227" t="s">
        <v>3254</v>
      </c>
    </row>
    <row r="22" spans="1:17" ht="42">
      <c r="A22" s="582" t="s">
        <v>2285</v>
      </c>
      <c r="B22" s="37" t="s">
        <v>16</v>
      </c>
      <c r="C22" s="37"/>
      <c r="D22" s="582" t="s">
        <v>2225</v>
      </c>
      <c r="E22" s="722" t="s">
        <v>2286</v>
      </c>
      <c r="F22" s="59" t="s">
        <v>2287</v>
      </c>
      <c r="G22" s="59" t="s">
        <v>2228</v>
      </c>
      <c r="H22" s="59" t="s">
        <v>21</v>
      </c>
      <c r="I22" s="59" t="s">
        <v>22</v>
      </c>
      <c r="J22" s="76" t="s">
        <v>23</v>
      </c>
      <c r="K22" s="76"/>
      <c r="L22" s="76"/>
      <c r="M22" s="76"/>
      <c r="N22" s="175"/>
      <c r="O22" s="175"/>
      <c r="P22" s="220"/>
    </row>
    <row r="23" spans="1:17" ht="42">
      <c r="A23" s="582" t="s">
        <v>2288</v>
      </c>
      <c r="B23" s="582" t="s">
        <v>16</v>
      </c>
      <c r="C23" s="37"/>
      <c r="D23" s="582" t="s">
        <v>2225</v>
      </c>
      <c r="E23" s="582" t="s">
        <v>2289</v>
      </c>
      <c r="F23" s="59" t="s">
        <v>2290</v>
      </c>
      <c r="G23" s="59" t="s">
        <v>2228</v>
      </c>
      <c r="H23" s="59" t="s">
        <v>21</v>
      </c>
      <c r="I23" s="59" t="s">
        <v>22</v>
      </c>
      <c r="J23" s="76" t="s">
        <v>23</v>
      </c>
      <c r="K23" s="76"/>
      <c r="L23" s="76"/>
      <c r="M23" s="76"/>
      <c r="N23" s="175"/>
      <c r="O23" s="175"/>
      <c r="P23" s="220"/>
    </row>
    <row r="24" spans="1:17" ht="42">
      <c r="A24" s="582" t="s">
        <v>2291</v>
      </c>
      <c r="B24" s="582" t="s">
        <v>16</v>
      </c>
      <c r="C24" s="37"/>
      <c r="D24" s="582" t="s">
        <v>2225</v>
      </c>
      <c r="E24" s="582" t="s">
        <v>2292</v>
      </c>
      <c r="F24" s="582" t="s">
        <v>2293</v>
      </c>
      <c r="G24" s="59" t="s">
        <v>2228</v>
      </c>
      <c r="H24" s="59" t="s">
        <v>21</v>
      </c>
      <c r="I24" s="59" t="s">
        <v>22</v>
      </c>
      <c r="J24" s="76" t="s">
        <v>64</v>
      </c>
      <c r="K24" s="76"/>
      <c r="L24" s="76"/>
      <c r="M24" s="76" t="s">
        <v>23</v>
      </c>
      <c r="N24" s="175"/>
      <c r="O24" s="175"/>
      <c r="P24" s="220"/>
    </row>
    <row r="25" spans="1:17" ht="42">
      <c r="A25" s="582" t="s">
        <v>2294</v>
      </c>
      <c r="B25" s="582" t="s">
        <v>16</v>
      </c>
      <c r="C25" s="37"/>
      <c r="D25" s="582" t="s">
        <v>2225</v>
      </c>
      <c r="E25" s="582" t="s">
        <v>2295</v>
      </c>
      <c r="F25" s="59" t="s">
        <v>2296</v>
      </c>
      <c r="G25" s="59" t="s">
        <v>2228</v>
      </c>
      <c r="H25" s="59" t="s">
        <v>21</v>
      </c>
      <c r="I25" s="59" t="s">
        <v>22</v>
      </c>
      <c r="J25" s="76" t="s">
        <v>64</v>
      </c>
      <c r="K25" s="76"/>
      <c r="L25" s="76" t="s">
        <v>23</v>
      </c>
      <c r="M25" s="76"/>
      <c r="N25" s="175"/>
      <c r="O25" s="175"/>
      <c r="P25" s="220"/>
    </row>
    <row r="26" spans="1:17" ht="42">
      <c r="A26" s="582" t="s">
        <v>2297</v>
      </c>
      <c r="B26" s="582" t="s">
        <v>16</v>
      </c>
      <c r="C26" s="37"/>
      <c r="D26" s="582" t="s">
        <v>2225</v>
      </c>
      <c r="E26" s="582" t="s">
        <v>2298</v>
      </c>
      <c r="F26" s="582" t="s">
        <v>2299</v>
      </c>
      <c r="G26" s="59" t="s">
        <v>2228</v>
      </c>
      <c r="H26" s="59" t="s">
        <v>21</v>
      </c>
      <c r="I26" s="59" t="s">
        <v>22</v>
      </c>
      <c r="J26" s="76" t="s">
        <v>64</v>
      </c>
      <c r="K26" s="76"/>
      <c r="L26" s="76"/>
      <c r="M26" s="76" t="s">
        <v>23</v>
      </c>
      <c r="N26" s="175"/>
      <c r="O26" s="175"/>
      <c r="P26" s="220"/>
    </row>
    <row r="27" spans="1:17" ht="42">
      <c r="A27" s="582" t="s">
        <v>2300</v>
      </c>
      <c r="B27" s="582" t="s">
        <v>16</v>
      </c>
      <c r="C27" s="37"/>
      <c r="D27" s="582" t="s">
        <v>2225</v>
      </c>
      <c r="E27" s="582" t="s">
        <v>2301</v>
      </c>
      <c r="F27" s="59" t="s">
        <v>2302</v>
      </c>
      <c r="G27" s="59" t="s">
        <v>2228</v>
      </c>
      <c r="H27" s="59" t="s">
        <v>21</v>
      </c>
      <c r="I27" s="59" t="s">
        <v>22</v>
      </c>
      <c r="J27" s="76" t="s">
        <v>64</v>
      </c>
      <c r="K27" s="76"/>
      <c r="L27" s="76"/>
      <c r="M27" s="76" t="s">
        <v>23</v>
      </c>
      <c r="N27" s="175"/>
      <c r="O27" s="175"/>
      <c r="P27" s="220"/>
      <c r="Q27" s="227" t="s">
        <v>3255</v>
      </c>
    </row>
    <row r="28" spans="1:17" ht="42">
      <c r="A28" s="582" t="s">
        <v>2303</v>
      </c>
      <c r="B28" s="582" t="s">
        <v>16</v>
      </c>
      <c r="C28" s="37"/>
      <c r="D28" s="582" t="s">
        <v>2225</v>
      </c>
      <c r="E28" s="582" t="s">
        <v>2304</v>
      </c>
      <c r="F28" s="582" t="s">
        <v>2305</v>
      </c>
      <c r="G28" s="59" t="s">
        <v>2228</v>
      </c>
      <c r="H28" s="59" t="s">
        <v>21</v>
      </c>
      <c r="I28" s="59" t="s">
        <v>22</v>
      </c>
      <c r="J28" s="76" t="s">
        <v>23</v>
      </c>
      <c r="K28" s="76"/>
      <c r="L28" s="76"/>
      <c r="M28" s="76"/>
      <c r="N28" s="175"/>
      <c r="O28" s="175"/>
      <c r="P28" s="220"/>
    </row>
    <row r="29" spans="1:17" ht="42">
      <c r="A29" s="582" t="s">
        <v>2306</v>
      </c>
      <c r="B29" s="582" t="s">
        <v>16</v>
      </c>
      <c r="C29" s="37"/>
      <c r="D29" s="582" t="s">
        <v>2225</v>
      </c>
      <c r="E29" s="582" t="s">
        <v>2307</v>
      </c>
      <c r="F29" s="582" t="s">
        <v>2308</v>
      </c>
      <c r="G29" s="59" t="s">
        <v>2228</v>
      </c>
      <c r="H29" s="59" t="s">
        <v>21</v>
      </c>
      <c r="I29" s="59" t="s">
        <v>22</v>
      </c>
      <c r="J29" s="76" t="s">
        <v>23</v>
      </c>
      <c r="K29" s="76"/>
      <c r="L29" s="76"/>
      <c r="M29" s="76"/>
      <c r="N29" s="175"/>
      <c r="O29" s="175"/>
      <c r="P29" s="220"/>
    </row>
    <row r="30" spans="1:17" ht="42">
      <c r="A30" s="582" t="s">
        <v>2309</v>
      </c>
      <c r="B30" s="37" t="s">
        <v>16</v>
      </c>
      <c r="C30" s="37"/>
      <c r="D30" s="582" t="s">
        <v>2225</v>
      </c>
      <c r="E30" s="582" t="s">
        <v>2310</v>
      </c>
      <c r="F30" s="582" t="s">
        <v>2311</v>
      </c>
      <c r="G30" s="59" t="s">
        <v>2228</v>
      </c>
      <c r="H30" s="59" t="s">
        <v>21</v>
      </c>
      <c r="I30" s="59" t="s">
        <v>22</v>
      </c>
      <c r="J30" s="76" t="s">
        <v>23</v>
      </c>
      <c r="K30" s="76"/>
      <c r="L30" s="76"/>
      <c r="M30" s="76"/>
      <c r="N30" s="175"/>
      <c r="O30" s="175"/>
      <c r="P30" s="220"/>
    </row>
    <row r="31" spans="1:17" ht="42">
      <c r="A31" s="582" t="s">
        <v>2312</v>
      </c>
      <c r="B31" s="582" t="s">
        <v>16</v>
      </c>
      <c r="C31" s="37"/>
      <c r="D31" s="582" t="s">
        <v>2225</v>
      </c>
      <c r="E31" s="582" t="s">
        <v>2313</v>
      </c>
      <c r="F31" s="582" t="s">
        <v>2314</v>
      </c>
      <c r="G31" s="59" t="s">
        <v>2228</v>
      </c>
      <c r="H31" s="59" t="s">
        <v>21</v>
      </c>
      <c r="I31" s="59" t="s">
        <v>22</v>
      </c>
      <c r="J31" s="76" t="s">
        <v>23</v>
      </c>
      <c r="K31" s="76"/>
      <c r="L31" s="76"/>
      <c r="M31" s="76"/>
      <c r="N31" s="175"/>
      <c r="O31" s="175"/>
      <c r="P31" s="220"/>
    </row>
    <row r="32" spans="1:17" ht="42">
      <c r="A32" s="582" t="s">
        <v>2315</v>
      </c>
      <c r="B32" s="582" t="s">
        <v>16</v>
      </c>
      <c r="C32" s="37"/>
      <c r="D32" s="582" t="s">
        <v>2225</v>
      </c>
      <c r="E32" s="582" t="s">
        <v>2316</v>
      </c>
      <c r="F32" s="59" t="s">
        <v>2317</v>
      </c>
      <c r="G32" s="59" t="s">
        <v>2228</v>
      </c>
      <c r="H32" s="59" t="s">
        <v>21</v>
      </c>
      <c r="I32" s="59" t="s">
        <v>22</v>
      </c>
      <c r="J32" s="76" t="s">
        <v>64</v>
      </c>
      <c r="K32" s="76"/>
      <c r="L32" s="76" t="s">
        <v>23</v>
      </c>
      <c r="M32" s="76"/>
      <c r="N32" s="175"/>
      <c r="O32" s="175"/>
      <c r="P32" s="220"/>
      <c r="Q32" s="227" t="s">
        <v>3256</v>
      </c>
    </row>
    <row r="33" spans="1:17" ht="42">
      <c r="A33" s="582" t="s">
        <v>2318</v>
      </c>
      <c r="B33" s="582" t="s">
        <v>16</v>
      </c>
      <c r="C33" s="37"/>
      <c r="D33" s="582" t="s">
        <v>2225</v>
      </c>
      <c r="E33" s="582" t="s">
        <v>2319</v>
      </c>
      <c r="F33" s="582" t="s">
        <v>2320</v>
      </c>
      <c r="G33" s="59" t="s">
        <v>2228</v>
      </c>
      <c r="H33" s="59" t="s">
        <v>21</v>
      </c>
      <c r="I33" s="59" t="s">
        <v>22</v>
      </c>
      <c r="J33" s="76" t="s">
        <v>64</v>
      </c>
      <c r="K33" s="76"/>
      <c r="L33" s="76"/>
      <c r="M33" s="76" t="s">
        <v>23</v>
      </c>
      <c r="N33" s="175"/>
      <c r="O33" s="175"/>
      <c r="P33" s="220"/>
      <c r="Q33" s="227" t="s">
        <v>3257</v>
      </c>
    </row>
    <row r="34" spans="1:17" ht="42">
      <c r="A34" s="582" t="s">
        <v>2321</v>
      </c>
      <c r="B34" s="582" t="s">
        <v>16</v>
      </c>
      <c r="C34" s="37"/>
      <c r="D34" s="582" t="s">
        <v>2225</v>
      </c>
      <c r="E34" s="582" t="s">
        <v>2322</v>
      </c>
      <c r="F34" s="582" t="s">
        <v>2323</v>
      </c>
      <c r="G34" s="59" t="s">
        <v>2228</v>
      </c>
      <c r="H34" s="59" t="s">
        <v>21</v>
      </c>
      <c r="I34" s="59" t="s">
        <v>22</v>
      </c>
      <c r="J34" s="76" t="s">
        <v>23</v>
      </c>
      <c r="K34" s="76"/>
      <c r="L34" s="76"/>
      <c r="M34" s="76"/>
      <c r="N34" s="175"/>
      <c r="O34" s="175"/>
      <c r="P34" s="220"/>
    </row>
    <row r="35" spans="1:17" ht="42">
      <c r="A35" s="582" t="s">
        <v>2324</v>
      </c>
      <c r="B35" s="582" t="s">
        <v>16</v>
      </c>
      <c r="C35" s="37"/>
      <c r="D35" s="582" t="s">
        <v>2225</v>
      </c>
      <c r="E35" s="582" t="s">
        <v>2325</v>
      </c>
      <c r="F35" s="582" t="s">
        <v>2326</v>
      </c>
      <c r="G35" s="59" t="s">
        <v>2228</v>
      </c>
      <c r="H35" s="59" t="s">
        <v>21</v>
      </c>
      <c r="I35" s="59" t="s">
        <v>22</v>
      </c>
      <c r="J35" s="76" t="s">
        <v>23</v>
      </c>
      <c r="K35" s="76"/>
      <c r="L35" s="76"/>
      <c r="M35" s="76"/>
      <c r="N35" s="175"/>
      <c r="O35" s="175"/>
      <c r="P35" s="220"/>
    </row>
  </sheetData>
  <mergeCells count="12">
    <mergeCell ref="A1:A2"/>
    <mergeCell ref="B1:B2"/>
    <mergeCell ref="C1:C2"/>
    <mergeCell ref="D1:D2"/>
    <mergeCell ref="E1:E2"/>
    <mergeCell ref="Q1:Q2"/>
    <mergeCell ref="F1:F2"/>
    <mergeCell ref="G1:G2"/>
    <mergeCell ref="H1:H2"/>
    <mergeCell ref="P1:P2"/>
    <mergeCell ref="I1:I2"/>
    <mergeCell ref="J1:L1"/>
  </mergeCells>
  <phoneticPr fontId="106" type="noConversion"/>
  <dataValidations count="4">
    <dataValidation type="list" allowBlank="1" showInputMessage="1" showErrorMessage="1" sqref="M3:O35 J1:L1048576" xr:uid="{00000000-0002-0000-1100-000000000000}">
      <formula1>"NT,PASS,FAIL,BLOCK,"</formula1>
    </dataValidation>
    <dataValidation type="list" showInputMessage="1" showErrorMessage="1" sqref="B3:B35 C3" xr:uid="{00000000-0002-0000-1100-000003000000}">
      <formula1>"Basicfunction,Cross-module,Pressure,Performance"</formula1>
    </dataValidation>
    <dataValidation type="list" sqref="H3:H22" xr:uid="{00000000-0002-0000-1100-000005000000}">
      <formula1>"P0,P1,P2"</formula1>
    </dataValidation>
    <dataValidation type="list" sqref="I3:I35" xr:uid="{00000000-0002-0000-1100-000006000000}">
      <formula1>"Yes,No"</formula1>
    </dataValidation>
  </dataValidations>
  <hyperlinks>
    <hyperlink ref="P3" r:id="rId1" xr:uid="{00000000-0004-0000-1100-000000000000}"/>
    <hyperlink ref="Q4" r:id="rId2" xr:uid="{00000000-0004-0000-1100-000001000000}"/>
    <hyperlink ref="Q5" r:id="rId3" xr:uid="{00000000-0004-0000-1100-000002000000}"/>
    <hyperlink ref="Q7" r:id="rId4" xr:uid="{00000000-0004-0000-1100-000003000000}"/>
    <hyperlink ref="Q10" r:id="rId5" xr:uid="{00000000-0004-0000-1100-000004000000}"/>
    <hyperlink ref="Q12" r:id="rId6" xr:uid="{00000000-0004-0000-1100-000005000000}"/>
    <hyperlink ref="Q15" r:id="rId7" xr:uid="{00000000-0004-0000-1100-000006000000}"/>
    <hyperlink ref="Q20" r:id="rId8" xr:uid="{00000000-0004-0000-1100-000007000000}"/>
    <hyperlink ref="Q21" r:id="rId9" xr:uid="{00000000-0004-0000-1100-000008000000}"/>
    <hyperlink ref="Q27" r:id="rId10" xr:uid="{00000000-0004-0000-1100-000009000000}"/>
    <hyperlink ref="Q32" r:id="rId11" xr:uid="{00000000-0004-0000-1100-00000A000000}"/>
    <hyperlink ref="Q33" r:id="rId12" xr:uid="{00000000-0004-0000-1100-00000B000000}"/>
  </hyperlinks>
  <pageMargins left="0.7" right="0.7" top="0.75" bottom="0.75" header="0.3" footer="0.3"/>
  <drawing r:id="rId1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codeName="压力测试"/>
  <dimension ref="A1:S161"/>
  <sheetViews>
    <sheetView workbookViewId="0"/>
  </sheetViews>
  <sheetFormatPr defaultRowHeight="14"/>
  <cols>
    <col min="1" max="1" width="27.08984375" style="162" customWidth="1"/>
    <col min="2" max="2" width="9.453125" style="35" customWidth="1"/>
    <col min="3" max="3" width="10.81640625" style="35" customWidth="1"/>
    <col min="4" max="4" width="34.81640625" style="35" customWidth="1"/>
    <col min="5" max="5" width="27" style="35" customWidth="1"/>
    <col min="6" max="6" width="60.26953125" style="35" customWidth="1"/>
    <col min="7" max="7" width="53.08984375" style="35" customWidth="1"/>
    <col min="8" max="8" width="7.90625" style="35" customWidth="1"/>
    <col min="9" max="9" width="12" style="35" customWidth="1"/>
    <col min="10" max="10" width="12.26953125" style="35" customWidth="1"/>
    <col min="11" max="11" width="13.36328125" style="35" customWidth="1"/>
    <col min="12" max="17" width="13.1796875" style="35" customWidth="1"/>
    <col min="18" max="18" width="27.08984375" style="162" customWidth="1"/>
    <col min="19" max="19" width="12.54296875" style="35" customWidth="1"/>
  </cols>
  <sheetData>
    <row r="1" spans="1:19" ht="33" customHeight="1">
      <c r="A1" s="1020" t="s">
        <v>0</v>
      </c>
      <c r="B1" s="1047" t="s">
        <v>1</v>
      </c>
      <c r="C1" s="1047" t="s">
        <v>2</v>
      </c>
      <c r="D1" s="1050" t="s">
        <v>3</v>
      </c>
      <c r="E1" s="1044" t="s">
        <v>4</v>
      </c>
      <c r="F1" s="1020" t="s">
        <v>5</v>
      </c>
      <c r="G1" s="998" t="s">
        <v>6</v>
      </c>
      <c r="H1" s="1007" t="s">
        <v>7</v>
      </c>
      <c r="I1" s="1007" t="s">
        <v>8</v>
      </c>
      <c r="J1" s="1007" t="s">
        <v>1278</v>
      </c>
      <c r="K1" s="1048" t="s">
        <v>1279</v>
      </c>
      <c r="L1" s="984"/>
      <c r="M1" s="569" t="s">
        <v>1280</v>
      </c>
      <c r="N1" s="569" t="s">
        <v>1281</v>
      </c>
      <c r="O1" s="1049" t="s">
        <v>1282</v>
      </c>
      <c r="P1" s="990"/>
      <c r="Q1" s="991"/>
      <c r="R1" s="1020" t="s">
        <v>10</v>
      </c>
      <c r="S1" s="93"/>
    </row>
    <row r="2" spans="1:19" ht="33" customHeight="1">
      <c r="A2" s="984"/>
      <c r="B2" s="984"/>
      <c r="C2" s="984"/>
      <c r="D2" s="1051"/>
      <c r="E2" s="984"/>
      <c r="F2" s="984"/>
      <c r="G2" s="984"/>
      <c r="H2" s="987"/>
      <c r="I2" s="987"/>
      <c r="J2" s="987"/>
      <c r="K2" s="1" t="s">
        <v>426</v>
      </c>
      <c r="L2" s="1" t="s">
        <v>428</v>
      </c>
      <c r="M2" s="3" t="s">
        <v>3240</v>
      </c>
      <c r="N2" s="3" t="s">
        <v>14</v>
      </c>
      <c r="O2" s="1">
        <v>20241204</v>
      </c>
      <c r="P2" s="1">
        <v>20241218</v>
      </c>
      <c r="Q2" s="1">
        <v>20250103</v>
      </c>
      <c r="R2" s="984"/>
      <c r="S2" s="570"/>
    </row>
    <row r="3" spans="1:19" ht="42">
      <c r="A3" s="59" t="s">
        <v>1283</v>
      </c>
      <c r="B3" s="118"/>
      <c r="C3" s="571" t="s">
        <v>1284</v>
      </c>
      <c r="D3" s="571" t="s">
        <v>1285</v>
      </c>
      <c r="E3" s="571" t="s">
        <v>1286</v>
      </c>
      <c r="F3" s="571" t="s">
        <v>1287</v>
      </c>
      <c r="G3" s="571" t="s">
        <v>1288</v>
      </c>
      <c r="H3" s="118" t="s">
        <v>21</v>
      </c>
      <c r="I3" s="118" t="s">
        <v>22</v>
      </c>
      <c r="J3" s="37" t="s">
        <v>1289</v>
      </c>
      <c r="K3" s="572" t="s">
        <v>416</v>
      </c>
      <c r="L3" s="572" t="s">
        <v>23</v>
      </c>
      <c r="M3" s="573"/>
      <c r="N3" s="573" t="s">
        <v>23</v>
      </c>
      <c r="O3" s="572"/>
      <c r="P3" s="573"/>
      <c r="Q3" s="573" t="s">
        <v>23</v>
      </c>
      <c r="R3" s="571"/>
    </row>
    <row r="4" spans="1:19" ht="98.25" customHeight="1">
      <c r="A4" s="59" t="s">
        <v>1290</v>
      </c>
      <c r="B4" s="125"/>
      <c r="C4" s="571" t="s">
        <v>1284</v>
      </c>
      <c r="D4" s="571" t="s">
        <v>1291</v>
      </c>
      <c r="E4" s="571" t="s">
        <v>1292</v>
      </c>
      <c r="F4" s="571" t="s">
        <v>1293</v>
      </c>
      <c r="G4" s="571" t="s">
        <v>1294</v>
      </c>
      <c r="H4" s="125" t="s">
        <v>21</v>
      </c>
      <c r="I4" s="125" t="s">
        <v>22</v>
      </c>
      <c r="J4" s="493" t="s">
        <v>1289</v>
      </c>
      <c r="K4" s="574"/>
      <c r="L4" s="574"/>
      <c r="M4" s="574"/>
      <c r="N4" s="574"/>
      <c r="O4" s="574"/>
      <c r="P4" s="574"/>
      <c r="Q4" s="574" t="s">
        <v>23</v>
      </c>
      <c r="R4" s="571"/>
    </row>
    <row r="5" spans="1:19" ht="84">
      <c r="A5" s="59" t="s">
        <v>1295</v>
      </c>
      <c r="B5" s="575"/>
      <c r="C5" s="576" t="s">
        <v>1284</v>
      </c>
      <c r="D5" s="576" t="s">
        <v>1296</v>
      </c>
      <c r="E5" s="576" t="s">
        <v>1292</v>
      </c>
      <c r="F5" s="576" t="s">
        <v>1297</v>
      </c>
      <c r="G5" s="576" t="s">
        <v>1298</v>
      </c>
      <c r="H5" s="575" t="s">
        <v>21</v>
      </c>
      <c r="I5" s="575" t="s">
        <v>22</v>
      </c>
      <c r="J5" s="577" t="s">
        <v>1289</v>
      </c>
      <c r="K5" s="578"/>
      <c r="L5" s="578"/>
      <c r="M5" s="578"/>
      <c r="N5" s="578"/>
      <c r="O5" s="578"/>
      <c r="P5" s="578"/>
      <c r="Q5" s="578" t="s">
        <v>23</v>
      </c>
      <c r="R5" s="576"/>
    </row>
    <row r="6" spans="1:19" ht="77.25" customHeight="1">
      <c r="A6" s="59" t="s">
        <v>1299</v>
      </c>
      <c r="B6" s="40"/>
      <c r="C6" s="100" t="s">
        <v>1284</v>
      </c>
      <c r="D6" s="100" t="s">
        <v>1300</v>
      </c>
      <c r="E6" s="100" t="s">
        <v>1301</v>
      </c>
      <c r="F6" s="100" t="s">
        <v>1302</v>
      </c>
      <c r="G6" s="100" t="s">
        <v>1288</v>
      </c>
      <c r="H6" s="118" t="s">
        <v>21</v>
      </c>
      <c r="I6" s="117" t="s">
        <v>22</v>
      </c>
      <c r="J6" s="37" t="s">
        <v>1289</v>
      </c>
      <c r="K6" s="37"/>
      <c r="L6" s="37" t="s">
        <v>23</v>
      </c>
      <c r="M6" s="37" t="s">
        <v>23</v>
      </c>
      <c r="N6" s="37"/>
      <c r="O6" s="37"/>
      <c r="P6" s="37" t="s">
        <v>23</v>
      </c>
      <c r="Q6" s="37"/>
      <c r="R6" s="100" t="s">
        <v>1303</v>
      </c>
    </row>
    <row r="7" spans="1:19" ht="77.25" customHeight="1">
      <c r="A7" s="59" t="s">
        <v>1304</v>
      </c>
      <c r="B7" s="37"/>
      <c r="C7" s="571" t="s">
        <v>1284</v>
      </c>
      <c r="D7" s="571" t="s">
        <v>1305</v>
      </c>
      <c r="E7" s="100" t="s">
        <v>1306</v>
      </c>
      <c r="F7" s="74" t="s">
        <v>3241</v>
      </c>
      <c r="G7" s="571" t="s">
        <v>1288</v>
      </c>
      <c r="H7" s="118" t="s">
        <v>21</v>
      </c>
      <c r="I7" s="117" t="s">
        <v>22</v>
      </c>
      <c r="J7" s="493" t="s">
        <v>1289</v>
      </c>
      <c r="K7" s="37" t="s">
        <v>23</v>
      </c>
      <c r="L7" s="37"/>
      <c r="M7" s="37" t="s">
        <v>23</v>
      </c>
      <c r="N7" s="493"/>
      <c r="O7" s="37"/>
      <c r="P7" s="493"/>
      <c r="Q7" s="493" t="s">
        <v>23</v>
      </c>
      <c r="R7" s="571" t="s">
        <v>1307</v>
      </c>
    </row>
    <row r="8" spans="1:19" ht="79.5" customHeight="1">
      <c r="A8" s="59" t="s">
        <v>1308</v>
      </c>
      <c r="B8" s="125"/>
      <c r="C8" s="571" t="s">
        <v>1284</v>
      </c>
      <c r="D8" s="571" t="s">
        <v>1309</v>
      </c>
      <c r="E8" s="571" t="s">
        <v>1310</v>
      </c>
      <c r="F8" s="571" t="s">
        <v>1311</v>
      </c>
      <c r="G8" s="571" t="s">
        <v>1312</v>
      </c>
      <c r="H8" s="125" t="s">
        <v>21</v>
      </c>
      <c r="I8" s="125" t="s">
        <v>22</v>
      </c>
      <c r="J8" s="493" t="s">
        <v>1289</v>
      </c>
      <c r="K8" s="574"/>
      <c r="L8" s="574" t="s">
        <v>23</v>
      </c>
      <c r="M8" s="574"/>
      <c r="N8" s="574"/>
      <c r="O8" s="574"/>
      <c r="P8" s="574"/>
      <c r="Q8" s="574" t="s">
        <v>23</v>
      </c>
      <c r="R8" s="571"/>
    </row>
    <row r="9" spans="1:19" ht="84">
      <c r="A9" s="579" t="s">
        <v>1313</v>
      </c>
      <c r="B9" s="169"/>
      <c r="C9" s="287" t="s">
        <v>1284</v>
      </c>
      <c r="D9" s="302" t="s">
        <v>1314</v>
      </c>
      <c r="E9" s="302" t="s">
        <v>1315</v>
      </c>
      <c r="F9" s="302" t="s">
        <v>1316</v>
      </c>
      <c r="G9" s="580" t="s">
        <v>1317</v>
      </c>
      <c r="H9" s="302" t="s">
        <v>21</v>
      </c>
      <c r="I9" s="302" t="s">
        <v>22</v>
      </c>
      <c r="J9" s="169" t="s">
        <v>1289</v>
      </c>
      <c r="K9" s="169" t="s">
        <v>23</v>
      </c>
      <c r="L9" s="169"/>
      <c r="M9" s="493"/>
      <c r="N9" s="493"/>
      <c r="O9" s="493"/>
      <c r="P9" s="493"/>
      <c r="Q9" s="493" t="s">
        <v>23</v>
      </c>
      <c r="R9" s="302"/>
    </row>
    <row r="10" spans="1:19" ht="84">
      <c r="A10" s="59" t="s">
        <v>1318</v>
      </c>
      <c r="B10" s="37"/>
      <c r="C10" s="581" t="s">
        <v>1284</v>
      </c>
      <c r="D10" s="582" t="s">
        <v>1319</v>
      </c>
      <c r="E10" s="582" t="s">
        <v>1315</v>
      </c>
      <c r="F10" s="582" t="s">
        <v>1320</v>
      </c>
      <c r="G10" s="59" t="s">
        <v>1317</v>
      </c>
      <c r="H10" s="118" t="s">
        <v>21</v>
      </c>
      <c r="I10" s="117" t="s">
        <v>22</v>
      </c>
      <c r="J10" s="37" t="s">
        <v>1289</v>
      </c>
      <c r="K10" s="37" t="s">
        <v>23</v>
      </c>
      <c r="L10" s="37"/>
      <c r="M10" s="493"/>
      <c r="N10" s="493"/>
      <c r="O10" s="37"/>
      <c r="P10" s="37"/>
      <c r="Q10" s="37" t="s">
        <v>23</v>
      </c>
      <c r="R10" s="100"/>
    </row>
    <row r="11" spans="1:19" ht="66.75" customHeight="1">
      <c r="A11" s="579" t="s">
        <v>1321</v>
      </c>
      <c r="B11" s="87"/>
      <c r="C11" s="581" t="s">
        <v>1284</v>
      </c>
      <c r="D11" s="581" t="s">
        <v>1322</v>
      </c>
      <c r="E11" s="571" t="s">
        <v>1310</v>
      </c>
      <c r="F11" s="571" t="s">
        <v>1323</v>
      </c>
      <c r="G11" s="571" t="s">
        <v>1312</v>
      </c>
      <c r="H11" s="118" t="s">
        <v>21</v>
      </c>
      <c r="I11" s="117" t="s">
        <v>22</v>
      </c>
      <c r="J11" s="37" t="s">
        <v>1289</v>
      </c>
      <c r="K11" s="174" t="s">
        <v>64</v>
      </c>
      <c r="L11" s="283" t="s">
        <v>23</v>
      </c>
      <c r="M11" s="493"/>
      <c r="N11" s="493"/>
      <c r="O11" s="493"/>
      <c r="P11" s="493" t="s">
        <v>23</v>
      </c>
      <c r="Q11" s="493"/>
      <c r="R11" s="582" t="s">
        <v>1324</v>
      </c>
      <c r="S11" s="179" t="s">
        <v>1325</v>
      </c>
    </row>
    <row r="12" spans="1:19" ht="72.75" customHeight="1">
      <c r="A12" s="579" t="s">
        <v>1326</v>
      </c>
      <c r="B12" s="87"/>
      <c r="C12" s="581" t="s">
        <v>1284</v>
      </c>
      <c r="D12" s="581" t="s">
        <v>1327</v>
      </c>
      <c r="E12" s="100" t="s">
        <v>1306</v>
      </c>
      <c r="F12" s="571" t="s">
        <v>1328</v>
      </c>
      <c r="G12" s="571" t="s">
        <v>1312</v>
      </c>
      <c r="H12" s="118" t="s">
        <v>21</v>
      </c>
      <c r="I12" s="117" t="s">
        <v>22</v>
      </c>
      <c r="J12" s="283" t="s">
        <v>1289</v>
      </c>
      <c r="K12" s="174"/>
      <c r="L12" s="37" t="s">
        <v>23</v>
      </c>
      <c r="M12" s="493"/>
      <c r="N12" s="493"/>
      <c r="O12" s="37"/>
      <c r="P12" s="37" t="s">
        <v>23</v>
      </c>
      <c r="Q12" s="37"/>
      <c r="R12" s="74"/>
      <c r="S12" s="179" t="s">
        <v>1325</v>
      </c>
    </row>
    <row r="13" spans="1:19" ht="66.75" customHeight="1">
      <c r="A13" s="579" t="s">
        <v>1329</v>
      </c>
      <c r="B13" s="87"/>
      <c r="C13" s="581" t="s">
        <v>1284</v>
      </c>
      <c r="D13" s="581" t="s">
        <v>1330</v>
      </c>
      <c r="E13" s="571" t="s">
        <v>1310</v>
      </c>
      <c r="F13" s="571" t="s">
        <v>1331</v>
      </c>
      <c r="G13" s="571" t="s">
        <v>1312</v>
      </c>
      <c r="H13" s="118" t="s">
        <v>21</v>
      </c>
      <c r="I13" s="117" t="s">
        <v>22</v>
      </c>
      <c r="J13" s="283" t="s">
        <v>1289</v>
      </c>
      <c r="K13" s="174" t="s">
        <v>23</v>
      </c>
      <c r="L13" s="37"/>
      <c r="M13" s="493"/>
      <c r="N13" s="493" t="s">
        <v>64</v>
      </c>
      <c r="O13" s="37" t="s">
        <v>23</v>
      </c>
      <c r="P13" s="37" t="s">
        <v>23</v>
      </c>
      <c r="Q13" s="37"/>
      <c r="R13" s="74" t="s">
        <v>3242</v>
      </c>
      <c r="S13" s="179" t="s">
        <v>1325</v>
      </c>
    </row>
    <row r="14" spans="1:19" ht="208.5" customHeight="1">
      <c r="A14" s="59" t="s">
        <v>1332</v>
      </c>
      <c r="B14" s="583"/>
      <c r="C14" s="100" t="s">
        <v>1284</v>
      </c>
      <c r="D14" s="100" t="s">
        <v>1333</v>
      </c>
      <c r="E14" s="100" t="s">
        <v>1334</v>
      </c>
      <c r="F14" s="100" t="s">
        <v>1335</v>
      </c>
      <c r="G14" s="100" t="s">
        <v>1336</v>
      </c>
      <c r="H14" s="118" t="s">
        <v>21</v>
      </c>
      <c r="I14" s="117" t="s">
        <v>22</v>
      </c>
      <c r="J14" s="37" t="s">
        <v>1289</v>
      </c>
      <c r="K14" s="37" t="s">
        <v>23</v>
      </c>
      <c r="L14" s="37"/>
      <c r="M14" s="37" t="s">
        <v>23</v>
      </c>
      <c r="N14" s="37"/>
      <c r="O14" s="37"/>
      <c r="P14" s="37"/>
      <c r="Q14" s="37" t="s">
        <v>23</v>
      </c>
      <c r="R14" s="59" t="s">
        <v>1337</v>
      </c>
    </row>
    <row r="15" spans="1:19" ht="70.5" customHeight="1">
      <c r="A15" s="59" t="s">
        <v>1338</v>
      </c>
      <c r="B15" s="583"/>
      <c r="C15" s="100" t="s">
        <v>1284</v>
      </c>
      <c r="D15" s="100" t="s">
        <v>1339</v>
      </c>
      <c r="E15" s="100" t="s">
        <v>1334</v>
      </c>
      <c r="F15" s="100" t="s">
        <v>1340</v>
      </c>
      <c r="G15" s="100" t="s">
        <v>1336</v>
      </c>
      <c r="H15" s="118" t="s">
        <v>21</v>
      </c>
      <c r="I15" s="117" t="s">
        <v>22</v>
      </c>
      <c r="J15" s="37" t="s">
        <v>1289</v>
      </c>
      <c r="K15" s="37" t="s">
        <v>23</v>
      </c>
      <c r="L15" s="37"/>
      <c r="M15" s="37" t="s">
        <v>23</v>
      </c>
      <c r="N15" s="37"/>
      <c r="O15" s="37"/>
      <c r="P15" s="37" t="s">
        <v>23</v>
      </c>
      <c r="Q15" s="37"/>
      <c r="R15" s="59" t="s">
        <v>1337</v>
      </c>
      <c r="S15" s="179" t="s">
        <v>1325</v>
      </c>
    </row>
    <row r="16" spans="1:19">
      <c r="J16" s="584"/>
      <c r="K16" s="585"/>
      <c r="L16" s="586"/>
      <c r="M16" s="586"/>
      <c r="N16" s="586"/>
      <c r="O16" s="586"/>
      <c r="P16" s="586"/>
      <c r="Q16" s="586"/>
    </row>
    <row r="17" spans="10:17">
      <c r="J17" s="584"/>
      <c r="K17" s="585"/>
      <c r="L17" s="586"/>
      <c r="M17" s="586"/>
      <c r="N17" s="586"/>
      <c r="O17" s="586"/>
      <c r="P17" s="586"/>
      <c r="Q17" s="586"/>
    </row>
    <row r="18" spans="10:17">
      <c r="J18" s="584"/>
      <c r="K18" s="585"/>
      <c r="L18" s="586"/>
      <c r="M18" s="586"/>
      <c r="N18" s="586"/>
      <c r="O18" s="586"/>
      <c r="P18" s="586"/>
      <c r="Q18" s="586"/>
    </row>
    <row r="19" spans="10:17">
      <c r="J19" s="584"/>
      <c r="K19" s="585"/>
      <c r="L19" s="586"/>
      <c r="M19" s="586"/>
      <c r="N19" s="586"/>
      <c r="O19" s="586"/>
      <c r="P19" s="586"/>
      <c r="Q19" s="586"/>
    </row>
    <row r="20" spans="10:17">
      <c r="J20" s="584"/>
      <c r="K20" s="585"/>
      <c r="L20" s="586"/>
      <c r="M20" s="586"/>
      <c r="N20" s="586"/>
      <c r="O20" s="586"/>
      <c r="P20" s="586"/>
      <c r="Q20" s="586"/>
    </row>
    <row r="21" spans="10:17">
      <c r="J21" s="584"/>
      <c r="K21" s="585"/>
      <c r="L21" s="586"/>
      <c r="M21" s="586"/>
      <c r="N21" s="586"/>
      <c r="O21" s="586"/>
      <c r="P21" s="586"/>
      <c r="Q21" s="586"/>
    </row>
    <row r="22" spans="10:17">
      <c r="J22" s="584"/>
      <c r="K22" s="585"/>
      <c r="L22" s="586"/>
      <c r="M22" s="586"/>
      <c r="N22" s="586"/>
      <c r="O22" s="586"/>
      <c r="P22" s="586"/>
      <c r="Q22" s="586"/>
    </row>
    <row r="23" spans="10:17">
      <c r="J23" s="584"/>
      <c r="K23" s="585"/>
      <c r="L23" s="586"/>
      <c r="M23" s="586"/>
      <c r="N23" s="586"/>
      <c r="O23" s="586"/>
      <c r="P23" s="586"/>
      <c r="Q23" s="586"/>
    </row>
    <row r="24" spans="10:17">
      <c r="J24" s="584"/>
      <c r="K24" s="585"/>
      <c r="L24" s="586"/>
      <c r="M24" s="586"/>
      <c r="N24" s="586"/>
      <c r="O24" s="586"/>
      <c r="P24" s="586"/>
      <c r="Q24" s="586"/>
    </row>
    <row r="25" spans="10:17">
      <c r="J25" s="584"/>
      <c r="K25" s="585"/>
      <c r="L25" s="586"/>
      <c r="M25" s="586"/>
      <c r="N25" s="586"/>
      <c r="O25" s="586"/>
      <c r="P25" s="586"/>
      <c r="Q25" s="586"/>
    </row>
    <row r="26" spans="10:17">
      <c r="J26" s="584"/>
      <c r="K26" s="585"/>
      <c r="L26" s="586"/>
      <c r="M26" s="586"/>
      <c r="N26" s="586"/>
      <c r="O26" s="586"/>
      <c r="P26" s="586"/>
      <c r="Q26" s="586"/>
    </row>
    <row r="27" spans="10:17">
      <c r="J27" s="584"/>
      <c r="K27" s="585"/>
      <c r="L27" s="586"/>
      <c r="M27" s="586"/>
      <c r="N27" s="586"/>
      <c r="O27" s="586"/>
      <c r="P27" s="586"/>
      <c r="Q27" s="586"/>
    </row>
    <row r="28" spans="10:17">
      <c r="J28" s="584"/>
      <c r="K28" s="585"/>
      <c r="L28" s="586"/>
      <c r="M28" s="586"/>
      <c r="N28" s="586"/>
      <c r="O28" s="586"/>
      <c r="P28" s="586"/>
      <c r="Q28" s="586"/>
    </row>
    <row r="29" spans="10:17">
      <c r="J29" s="584"/>
      <c r="K29" s="585"/>
      <c r="L29" s="586"/>
      <c r="M29" s="586"/>
      <c r="N29" s="586"/>
      <c r="O29" s="586"/>
      <c r="P29" s="586"/>
      <c r="Q29" s="586"/>
    </row>
    <row r="30" spans="10:17">
      <c r="J30" s="584"/>
      <c r="K30" s="585"/>
      <c r="L30" s="586"/>
      <c r="M30" s="586"/>
      <c r="N30" s="586"/>
      <c r="O30" s="586"/>
      <c r="P30" s="586"/>
      <c r="Q30" s="586"/>
    </row>
    <row r="31" spans="10:17">
      <c r="J31" s="584"/>
      <c r="K31" s="585"/>
      <c r="L31" s="586"/>
      <c r="M31" s="586"/>
      <c r="N31" s="586"/>
      <c r="O31" s="586"/>
      <c r="P31" s="586"/>
      <c r="Q31" s="586"/>
    </row>
    <row r="32" spans="10:17">
      <c r="J32" s="584"/>
      <c r="K32" s="585"/>
      <c r="L32" s="586"/>
      <c r="M32" s="586"/>
      <c r="N32" s="586"/>
      <c r="O32" s="586"/>
      <c r="P32" s="586"/>
      <c r="Q32" s="586"/>
    </row>
    <row r="33" spans="10:17">
      <c r="J33" s="584"/>
      <c r="K33" s="587"/>
      <c r="L33" s="586"/>
      <c r="M33" s="586"/>
      <c r="N33" s="586"/>
      <c r="O33" s="586"/>
      <c r="P33" s="586"/>
      <c r="Q33" s="586"/>
    </row>
    <row r="34" spans="10:17">
      <c r="J34" s="584"/>
      <c r="K34" s="585"/>
      <c r="L34" s="586"/>
      <c r="M34" s="586"/>
      <c r="N34" s="586"/>
      <c r="O34" s="586"/>
      <c r="P34" s="586"/>
      <c r="Q34" s="586"/>
    </row>
    <row r="35" spans="10:17">
      <c r="J35" s="584"/>
      <c r="K35" s="585"/>
      <c r="L35" s="586"/>
      <c r="M35" s="586"/>
      <c r="N35" s="586"/>
      <c r="O35" s="586"/>
      <c r="P35" s="586"/>
      <c r="Q35" s="586"/>
    </row>
    <row r="36" spans="10:17">
      <c r="J36" s="584"/>
      <c r="K36" s="585"/>
      <c r="L36" s="586"/>
      <c r="M36" s="586"/>
      <c r="N36" s="586"/>
      <c r="O36" s="586"/>
      <c r="P36" s="586"/>
      <c r="Q36" s="586"/>
    </row>
    <row r="37" spans="10:17">
      <c r="J37" s="584"/>
      <c r="K37" s="585"/>
      <c r="L37" s="586"/>
      <c r="M37" s="586"/>
      <c r="N37" s="586"/>
      <c r="O37" s="586"/>
      <c r="P37" s="586"/>
      <c r="Q37" s="586"/>
    </row>
    <row r="38" spans="10:17">
      <c r="J38" s="584"/>
      <c r="K38" s="585"/>
      <c r="L38" s="586"/>
      <c r="M38" s="586"/>
      <c r="N38" s="586"/>
      <c r="O38" s="586"/>
      <c r="P38" s="586"/>
      <c r="Q38" s="586"/>
    </row>
    <row r="39" spans="10:17">
      <c r="J39" s="584"/>
      <c r="K39" s="585"/>
      <c r="L39" s="586"/>
      <c r="M39" s="586"/>
      <c r="N39" s="586"/>
      <c r="O39" s="586"/>
      <c r="P39" s="586"/>
      <c r="Q39" s="586"/>
    </row>
    <row r="40" spans="10:17">
      <c r="J40" s="584"/>
      <c r="K40" s="585"/>
      <c r="L40" s="586"/>
      <c r="M40" s="586"/>
      <c r="N40" s="586"/>
      <c r="O40" s="586"/>
      <c r="P40" s="586"/>
      <c r="Q40" s="586"/>
    </row>
    <row r="41" spans="10:17">
      <c r="J41" s="584"/>
      <c r="K41" s="585"/>
      <c r="L41" s="586"/>
      <c r="M41" s="586"/>
      <c r="N41" s="586"/>
      <c r="O41" s="586"/>
      <c r="P41" s="586"/>
      <c r="Q41" s="586"/>
    </row>
    <row r="42" spans="10:17">
      <c r="J42" s="584"/>
      <c r="K42" s="585"/>
      <c r="L42" s="586"/>
      <c r="M42" s="586"/>
      <c r="N42" s="586"/>
      <c r="O42" s="586"/>
      <c r="P42" s="586"/>
      <c r="Q42" s="586"/>
    </row>
    <row r="43" spans="10:17">
      <c r="J43" s="584"/>
      <c r="K43" s="585"/>
      <c r="L43" s="586"/>
      <c r="M43" s="586"/>
      <c r="N43" s="586"/>
      <c r="O43" s="586"/>
      <c r="P43" s="586"/>
      <c r="Q43" s="586"/>
    </row>
    <row r="44" spans="10:17">
      <c r="J44" s="584"/>
      <c r="K44" s="585"/>
      <c r="L44" s="586"/>
      <c r="M44" s="586"/>
      <c r="N44" s="586"/>
      <c r="O44" s="586"/>
      <c r="P44" s="586"/>
      <c r="Q44" s="586"/>
    </row>
    <row r="45" spans="10:17">
      <c r="J45" s="584"/>
      <c r="K45" s="585"/>
      <c r="L45" s="586"/>
      <c r="M45" s="586"/>
      <c r="N45" s="586"/>
      <c r="O45" s="586"/>
      <c r="P45" s="586"/>
      <c r="Q45" s="586"/>
    </row>
    <row r="46" spans="10:17">
      <c r="J46" s="584"/>
      <c r="K46" s="585"/>
      <c r="L46" s="586"/>
      <c r="M46" s="586"/>
      <c r="N46" s="586"/>
      <c r="O46" s="586"/>
      <c r="P46" s="586"/>
      <c r="Q46" s="586"/>
    </row>
    <row r="47" spans="10:17">
      <c r="J47" s="584"/>
      <c r="K47" s="585"/>
      <c r="L47" s="586"/>
      <c r="M47" s="586"/>
      <c r="N47" s="586"/>
      <c r="O47" s="586"/>
      <c r="P47" s="586"/>
      <c r="Q47" s="586"/>
    </row>
    <row r="48" spans="10:17">
      <c r="J48" s="584"/>
      <c r="K48" s="585"/>
      <c r="L48" s="586"/>
      <c r="M48" s="586"/>
      <c r="N48" s="586"/>
      <c r="O48" s="586"/>
      <c r="P48" s="586"/>
      <c r="Q48" s="586"/>
    </row>
    <row r="49" spans="10:17">
      <c r="J49" s="584"/>
      <c r="K49" s="585"/>
      <c r="L49" s="586"/>
      <c r="M49" s="586"/>
      <c r="N49" s="586"/>
      <c r="O49" s="586"/>
      <c r="P49" s="586"/>
      <c r="Q49" s="586"/>
    </row>
    <row r="50" spans="10:17">
      <c r="J50" s="584"/>
      <c r="K50" s="585"/>
      <c r="L50" s="586"/>
      <c r="M50" s="586"/>
      <c r="N50" s="586"/>
      <c r="O50" s="586"/>
      <c r="P50" s="586"/>
      <c r="Q50" s="586"/>
    </row>
    <row r="51" spans="10:17">
      <c r="J51" s="584"/>
      <c r="K51" s="585"/>
      <c r="L51" s="586"/>
      <c r="M51" s="586"/>
      <c r="N51" s="586"/>
      <c r="O51" s="586"/>
      <c r="P51" s="586"/>
      <c r="Q51" s="586"/>
    </row>
    <row r="52" spans="10:17">
      <c r="J52" s="584"/>
      <c r="K52" s="585"/>
      <c r="L52" s="586"/>
      <c r="M52" s="586"/>
      <c r="N52" s="586"/>
      <c r="O52" s="586"/>
      <c r="P52" s="586"/>
      <c r="Q52" s="586"/>
    </row>
    <row r="53" spans="10:17">
      <c r="J53" s="584"/>
      <c r="K53" s="585"/>
      <c r="L53" s="586"/>
      <c r="M53" s="586"/>
      <c r="N53" s="586"/>
      <c r="O53" s="586"/>
      <c r="P53" s="586"/>
      <c r="Q53" s="586"/>
    </row>
    <row r="54" spans="10:17">
      <c r="J54" s="584"/>
      <c r="K54" s="585"/>
      <c r="L54" s="586"/>
      <c r="M54" s="586"/>
      <c r="N54" s="586"/>
      <c r="O54" s="586"/>
      <c r="P54" s="586"/>
      <c r="Q54" s="586"/>
    </row>
    <row r="55" spans="10:17">
      <c r="J55" s="584"/>
      <c r="K55" s="585"/>
      <c r="L55" s="586"/>
      <c r="M55" s="586"/>
      <c r="N55" s="586"/>
      <c r="O55" s="586"/>
      <c r="P55" s="586"/>
      <c r="Q55" s="586"/>
    </row>
    <row r="56" spans="10:17">
      <c r="J56" s="584"/>
      <c r="K56" s="585"/>
      <c r="L56" s="586"/>
      <c r="M56" s="586"/>
      <c r="N56" s="586"/>
      <c r="O56" s="586"/>
      <c r="P56" s="586"/>
      <c r="Q56" s="586"/>
    </row>
    <row r="57" spans="10:17">
      <c r="J57" s="584"/>
      <c r="K57" s="585"/>
      <c r="L57" s="586"/>
      <c r="M57" s="586"/>
      <c r="N57" s="586"/>
      <c r="O57" s="586"/>
      <c r="P57" s="586"/>
      <c r="Q57" s="586"/>
    </row>
    <row r="58" spans="10:17">
      <c r="J58" s="584"/>
      <c r="K58" s="585"/>
      <c r="L58" s="586"/>
      <c r="M58" s="586"/>
      <c r="N58" s="586"/>
      <c r="O58" s="586"/>
      <c r="P58" s="586"/>
      <c r="Q58" s="586"/>
    </row>
    <row r="59" spans="10:17">
      <c r="J59" s="584"/>
      <c r="K59" s="585"/>
      <c r="L59" s="586"/>
      <c r="M59" s="586"/>
      <c r="N59" s="586"/>
      <c r="O59" s="586"/>
      <c r="P59" s="586"/>
      <c r="Q59" s="586"/>
    </row>
    <row r="60" spans="10:17">
      <c r="J60" s="584"/>
      <c r="K60" s="585"/>
      <c r="L60" s="586"/>
      <c r="M60" s="586"/>
      <c r="N60" s="586"/>
      <c r="O60" s="586"/>
      <c r="P60" s="586"/>
      <c r="Q60" s="586"/>
    </row>
    <row r="61" spans="10:17">
      <c r="J61" s="584"/>
      <c r="K61" s="585"/>
      <c r="L61" s="586"/>
      <c r="M61" s="586"/>
      <c r="N61" s="586"/>
      <c r="O61" s="586"/>
      <c r="P61" s="586"/>
      <c r="Q61" s="586"/>
    </row>
    <row r="62" spans="10:17">
      <c r="J62" s="584"/>
      <c r="K62" s="585"/>
      <c r="L62" s="586"/>
      <c r="M62" s="586"/>
      <c r="N62" s="586"/>
      <c r="O62" s="586"/>
      <c r="P62" s="586"/>
      <c r="Q62" s="586"/>
    </row>
    <row r="63" spans="10:17">
      <c r="J63" s="584"/>
      <c r="K63" s="585"/>
      <c r="L63" s="586"/>
      <c r="M63" s="586"/>
      <c r="N63" s="586"/>
      <c r="O63" s="586"/>
      <c r="P63" s="586"/>
      <c r="Q63" s="586"/>
    </row>
    <row r="64" spans="10:17">
      <c r="J64" s="584"/>
      <c r="K64" s="585"/>
      <c r="L64" s="586"/>
      <c r="M64" s="586"/>
      <c r="N64" s="586"/>
      <c r="O64" s="586"/>
      <c r="P64" s="586"/>
      <c r="Q64" s="586"/>
    </row>
    <row r="65" spans="10:17">
      <c r="J65" s="584"/>
      <c r="K65" s="585"/>
      <c r="L65" s="586"/>
      <c r="M65" s="586"/>
      <c r="N65" s="586"/>
      <c r="O65" s="586"/>
      <c r="P65" s="586"/>
      <c r="Q65" s="586"/>
    </row>
    <row r="66" spans="10:17">
      <c r="J66" s="584"/>
      <c r="K66" s="585"/>
      <c r="L66" s="586"/>
      <c r="M66" s="586"/>
      <c r="N66" s="586"/>
      <c r="O66" s="586"/>
      <c r="P66" s="586"/>
      <c r="Q66" s="586"/>
    </row>
    <row r="67" spans="10:17">
      <c r="J67" s="584"/>
      <c r="K67" s="587"/>
      <c r="L67" s="586"/>
      <c r="M67" s="586"/>
      <c r="N67" s="586"/>
      <c r="O67" s="586"/>
      <c r="P67" s="586"/>
      <c r="Q67" s="586"/>
    </row>
    <row r="68" spans="10:17">
      <c r="J68" s="584"/>
      <c r="K68" s="585"/>
      <c r="L68" s="586"/>
      <c r="M68" s="586"/>
      <c r="N68" s="586"/>
      <c r="O68" s="586"/>
      <c r="P68" s="586"/>
      <c r="Q68" s="586"/>
    </row>
    <row r="69" spans="10:17">
      <c r="J69" s="584"/>
      <c r="K69" s="585"/>
      <c r="L69" s="586"/>
      <c r="M69" s="586"/>
      <c r="N69" s="586"/>
      <c r="O69" s="586"/>
      <c r="P69" s="586"/>
      <c r="Q69" s="586"/>
    </row>
    <row r="70" spans="10:17">
      <c r="J70" s="584"/>
      <c r="K70" s="585"/>
      <c r="L70" s="586"/>
      <c r="M70" s="586"/>
      <c r="N70" s="586"/>
      <c r="O70" s="586"/>
      <c r="P70" s="586"/>
      <c r="Q70" s="586"/>
    </row>
    <row r="71" spans="10:17">
      <c r="J71" s="584"/>
      <c r="K71" s="585"/>
      <c r="L71" s="586"/>
      <c r="M71" s="586"/>
      <c r="N71" s="586"/>
      <c r="O71" s="586"/>
      <c r="P71" s="586"/>
      <c r="Q71" s="586"/>
    </row>
    <row r="72" spans="10:17">
      <c r="J72" s="584"/>
      <c r="K72" s="585"/>
      <c r="L72" s="586"/>
      <c r="M72" s="586"/>
      <c r="N72" s="586"/>
      <c r="O72" s="586"/>
      <c r="P72" s="586"/>
      <c r="Q72" s="586"/>
    </row>
    <row r="73" spans="10:17">
      <c r="J73" s="584"/>
      <c r="K73" s="585"/>
      <c r="L73" s="586"/>
      <c r="M73" s="586"/>
      <c r="N73" s="586"/>
      <c r="O73" s="586"/>
      <c r="P73" s="586"/>
      <c r="Q73" s="586"/>
    </row>
    <row r="74" spans="10:17">
      <c r="J74" s="584"/>
      <c r="K74" s="585"/>
      <c r="L74" s="586"/>
      <c r="M74" s="586"/>
      <c r="N74" s="586"/>
      <c r="O74" s="586"/>
      <c r="P74" s="586"/>
      <c r="Q74" s="586"/>
    </row>
    <row r="75" spans="10:17">
      <c r="J75" s="584"/>
      <c r="K75" s="585"/>
      <c r="L75" s="586"/>
      <c r="M75" s="586"/>
      <c r="N75" s="586"/>
      <c r="O75" s="586"/>
      <c r="P75" s="586"/>
      <c r="Q75" s="586"/>
    </row>
    <row r="76" spans="10:17">
      <c r="J76" s="584"/>
      <c r="K76" s="585"/>
      <c r="L76" s="586"/>
      <c r="M76" s="586"/>
      <c r="N76" s="586"/>
      <c r="O76" s="586"/>
      <c r="P76" s="586"/>
      <c r="Q76" s="586"/>
    </row>
    <row r="77" spans="10:17">
      <c r="J77" s="584"/>
      <c r="K77" s="585"/>
      <c r="L77" s="586"/>
      <c r="M77" s="586"/>
      <c r="N77" s="586"/>
      <c r="O77" s="586"/>
      <c r="P77" s="586"/>
      <c r="Q77" s="586"/>
    </row>
    <row r="78" spans="10:17">
      <c r="J78" s="584"/>
      <c r="K78" s="585"/>
      <c r="L78" s="586"/>
      <c r="M78" s="586"/>
      <c r="N78" s="586"/>
      <c r="O78" s="586"/>
      <c r="P78" s="586"/>
      <c r="Q78" s="586"/>
    </row>
    <row r="79" spans="10:17">
      <c r="J79" s="584"/>
      <c r="K79" s="585"/>
      <c r="L79" s="586"/>
      <c r="M79" s="586"/>
      <c r="N79" s="586"/>
      <c r="O79" s="586"/>
      <c r="P79" s="586"/>
      <c r="Q79" s="586"/>
    </row>
    <row r="80" spans="10:17">
      <c r="J80" s="584"/>
      <c r="K80" s="585"/>
      <c r="L80" s="586"/>
      <c r="M80" s="586"/>
      <c r="N80" s="586"/>
      <c r="O80" s="586"/>
      <c r="P80" s="586"/>
      <c r="Q80" s="586"/>
    </row>
    <row r="81" spans="10:17">
      <c r="J81" s="584"/>
      <c r="K81" s="585"/>
      <c r="L81" s="586"/>
      <c r="M81" s="586"/>
      <c r="N81" s="586"/>
      <c r="O81" s="586"/>
      <c r="P81" s="586"/>
      <c r="Q81" s="586"/>
    </row>
    <row r="82" spans="10:17">
      <c r="J82" s="584"/>
      <c r="K82" s="585"/>
      <c r="L82" s="586"/>
      <c r="M82" s="586"/>
      <c r="N82" s="586"/>
      <c r="O82" s="586"/>
      <c r="P82" s="586"/>
      <c r="Q82" s="586"/>
    </row>
    <row r="83" spans="10:17">
      <c r="J83" s="584"/>
      <c r="K83" s="585"/>
      <c r="L83" s="586"/>
      <c r="M83" s="586"/>
      <c r="N83" s="586"/>
      <c r="O83" s="586"/>
      <c r="P83" s="586"/>
      <c r="Q83" s="586"/>
    </row>
    <row r="84" spans="10:17">
      <c r="J84" s="584"/>
      <c r="K84" s="585"/>
      <c r="L84" s="586"/>
      <c r="M84" s="586"/>
      <c r="N84" s="586"/>
      <c r="O84" s="586"/>
      <c r="P84" s="586"/>
      <c r="Q84" s="586"/>
    </row>
    <row r="85" spans="10:17">
      <c r="J85" s="584"/>
      <c r="K85" s="585"/>
      <c r="L85" s="586"/>
      <c r="M85" s="586"/>
      <c r="N85" s="586"/>
      <c r="O85" s="586"/>
      <c r="P85" s="586"/>
      <c r="Q85" s="586"/>
    </row>
    <row r="86" spans="10:17">
      <c r="J86" s="584"/>
      <c r="K86" s="585"/>
      <c r="L86" s="586"/>
      <c r="M86" s="586"/>
      <c r="N86" s="586"/>
      <c r="O86" s="586"/>
      <c r="P86" s="586"/>
      <c r="Q86" s="586"/>
    </row>
    <row r="87" spans="10:17">
      <c r="J87" s="584"/>
      <c r="K87" s="585"/>
      <c r="L87" s="586"/>
      <c r="M87" s="586"/>
      <c r="N87" s="586"/>
      <c r="O87" s="586"/>
      <c r="P87" s="586"/>
      <c r="Q87" s="586"/>
    </row>
    <row r="88" spans="10:17">
      <c r="J88" s="584"/>
      <c r="K88" s="585"/>
      <c r="L88" s="586"/>
      <c r="M88" s="586"/>
      <c r="N88" s="586"/>
      <c r="O88" s="586"/>
      <c r="P88" s="586"/>
      <c r="Q88" s="586"/>
    </row>
    <row r="89" spans="10:17">
      <c r="J89" s="584"/>
      <c r="K89" s="585"/>
      <c r="L89" s="586"/>
      <c r="M89" s="586"/>
      <c r="N89" s="586"/>
      <c r="O89" s="586"/>
      <c r="P89" s="586"/>
      <c r="Q89" s="586"/>
    </row>
    <row r="90" spans="10:17">
      <c r="J90" s="584"/>
      <c r="K90" s="585"/>
      <c r="L90" s="586"/>
      <c r="M90" s="586"/>
      <c r="N90" s="586"/>
      <c r="O90" s="586"/>
      <c r="P90" s="586"/>
      <c r="Q90" s="586"/>
    </row>
    <row r="91" spans="10:17">
      <c r="J91" s="584"/>
      <c r="K91" s="585"/>
      <c r="L91" s="586"/>
      <c r="M91" s="586"/>
      <c r="N91" s="586"/>
      <c r="O91" s="586"/>
      <c r="P91" s="586"/>
      <c r="Q91" s="586"/>
    </row>
    <row r="92" spans="10:17">
      <c r="J92" s="584"/>
      <c r="K92" s="585"/>
      <c r="L92" s="586"/>
      <c r="M92" s="586"/>
      <c r="N92" s="586"/>
      <c r="O92" s="586"/>
      <c r="P92" s="586"/>
      <c r="Q92" s="586"/>
    </row>
    <row r="93" spans="10:17">
      <c r="J93" s="584"/>
      <c r="K93" s="585"/>
      <c r="L93" s="586"/>
      <c r="M93" s="586"/>
      <c r="N93" s="586"/>
      <c r="O93" s="586"/>
      <c r="P93" s="586"/>
      <c r="Q93" s="586"/>
    </row>
    <row r="94" spans="10:17">
      <c r="J94" s="584"/>
      <c r="K94" s="585"/>
      <c r="L94" s="586"/>
      <c r="M94" s="586"/>
      <c r="N94" s="586"/>
      <c r="O94" s="586"/>
      <c r="P94" s="586"/>
      <c r="Q94" s="586"/>
    </row>
    <row r="95" spans="10:17">
      <c r="J95" s="584"/>
      <c r="K95" s="585"/>
      <c r="L95" s="586"/>
      <c r="M95" s="586"/>
      <c r="N95" s="586"/>
      <c r="O95" s="586"/>
      <c r="P95" s="586"/>
      <c r="Q95" s="586"/>
    </row>
    <row r="96" spans="10:17">
      <c r="J96" s="584"/>
      <c r="K96" s="585"/>
      <c r="L96" s="586"/>
      <c r="M96" s="586"/>
      <c r="N96" s="586"/>
      <c r="O96" s="586"/>
      <c r="P96" s="586"/>
      <c r="Q96" s="586"/>
    </row>
    <row r="97" spans="10:17">
      <c r="J97" s="584"/>
      <c r="K97" s="585"/>
      <c r="L97" s="586"/>
      <c r="M97" s="586"/>
      <c r="N97" s="586"/>
      <c r="O97" s="586"/>
      <c r="P97" s="586"/>
      <c r="Q97" s="586"/>
    </row>
    <row r="98" spans="10:17">
      <c r="J98" s="584"/>
      <c r="K98" s="585"/>
      <c r="L98" s="586"/>
      <c r="M98" s="586"/>
      <c r="N98" s="586"/>
      <c r="O98" s="586"/>
      <c r="P98" s="586"/>
      <c r="Q98" s="586"/>
    </row>
    <row r="99" spans="10:17">
      <c r="J99" s="584"/>
      <c r="K99" s="585"/>
      <c r="L99" s="586"/>
      <c r="M99" s="586"/>
      <c r="N99" s="586"/>
      <c r="O99" s="586"/>
      <c r="P99" s="586"/>
      <c r="Q99" s="586"/>
    </row>
    <row r="100" spans="10:17">
      <c r="J100" s="584"/>
      <c r="K100" s="585"/>
      <c r="L100" s="586"/>
      <c r="M100" s="586"/>
      <c r="N100" s="586"/>
      <c r="O100" s="586"/>
      <c r="P100" s="586"/>
      <c r="Q100" s="586"/>
    </row>
    <row r="101" spans="10:17">
      <c r="J101" s="584"/>
      <c r="K101" s="587"/>
      <c r="L101" s="586"/>
      <c r="M101" s="586"/>
      <c r="N101" s="586"/>
      <c r="O101" s="586"/>
      <c r="P101" s="586"/>
      <c r="Q101" s="586"/>
    </row>
    <row r="102" spans="10:17">
      <c r="J102" s="584"/>
      <c r="K102" s="585"/>
      <c r="L102" s="586"/>
      <c r="M102" s="586"/>
      <c r="N102" s="586"/>
      <c r="O102" s="586"/>
      <c r="P102" s="586"/>
      <c r="Q102" s="586"/>
    </row>
    <row r="103" spans="10:17">
      <c r="J103" s="584"/>
      <c r="K103" s="585"/>
      <c r="L103" s="586"/>
      <c r="M103" s="586"/>
      <c r="N103" s="586"/>
      <c r="O103" s="586"/>
      <c r="P103" s="586"/>
      <c r="Q103" s="586"/>
    </row>
    <row r="104" spans="10:17">
      <c r="J104" s="584"/>
      <c r="K104" s="585"/>
      <c r="L104" s="586"/>
      <c r="M104" s="586"/>
      <c r="N104" s="586"/>
      <c r="O104" s="586"/>
      <c r="P104" s="586"/>
      <c r="Q104" s="586"/>
    </row>
    <row r="105" spans="10:17">
      <c r="J105" s="584"/>
      <c r="K105" s="585"/>
      <c r="L105" s="586"/>
      <c r="M105" s="586"/>
      <c r="N105" s="586"/>
      <c r="O105" s="586"/>
      <c r="P105" s="586"/>
      <c r="Q105" s="586"/>
    </row>
    <row r="106" spans="10:17">
      <c r="J106" s="584"/>
      <c r="K106" s="585"/>
      <c r="L106" s="586"/>
      <c r="M106" s="586"/>
      <c r="N106" s="586"/>
      <c r="O106" s="586"/>
      <c r="P106" s="586"/>
      <c r="Q106" s="586"/>
    </row>
    <row r="107" spans="10:17">
      <c r="J107" s="584"/>
      <c r="K107" s="585"/>
      <c r="L107" s="586"/>
      <c r="M107" s="586"/>
      <c r="N107" s="586"/>
      <c r="O107" s="586"/>
      <c r="P107" s="586"/>
      <c r="Q107" s="586"/>
    </row>
    <row r="108" spans="10:17">
      <c r="J108" s="584"/>
      <c r="K108" s="585"/>
      <c r="L108" s="586"/>
      <c r="M108" s="586"/>
      <c r="N108" s="586"/>
      <c r="O108" s="586"/>
      <c r="P108" s="586"/>
      <c r="Q108" s="586"/>
    </row>
    <row r="109" spans="10:17">
      <c r="J109" s="584"/>
      <c r="K109" s="585"/>
      <c r="L109" s="586"/>
      <c r="M109" s="586"/>
      <c r="N109" s="586"/>
      <c r="O109" s="586"/>
      <c r="P109" s="586"/>
      <c r="Q109" s="586"/>
    </row>
    <row r="110" spans="10:17">
      <c r="J110" s="584"/>
      <c r="K110" s="585"/>
      <c r="L110" s="586"/>
      <c r="M110" s="586"/>
      <c r="N110" s="586"/>
      <c r="O110" s="586"/>
      <c r="P110" s="586"/>
      <c r="Q110" s="586"/>
    </row>
    <row r="111" spans="10:17">
      <c r="J111" s="584"/>
      <c r="K111" s="585"/>
      <c r="L111" s="586"/>
      <c r="M111" s="586"/>
      <c r="N111" s="586"/>
      <c r="O111" s="586"/>
      <c r="P111" s="586"/>
      <c r="Q111" s="586"/>
    </row>
    <row r="112" spans="10:17">
      <c r="J112" s="584"/>
      <c r="K112" s="585"/>
      <c r="L112" s="586"/>
      <c r="M112" s="586"/>
      <c r="N112" s="586"/>
      <c r="O112" s="586"/>
      <c r="P112" s="586"/>
      <c r="Q112" s="586"/>
    </row>
    <row r="113" spans="10:17">
      <c r="J113" s="584"/>
      <c r="K113" s="585"/>
      <c r="L113" s="586"/>
      <c r="M113" s="586"/>
      <c r="N113" s="586"/>
      <c r="O113" s="586"/>
      <c r="P113" s="586"/>
      <c r="Q113" s="586"/>
    </row>
    <row r="114" spans="10:17">
      <c r="J114" s="584"/>
      <c r="K114" s="585"/>
      <c r="L114" s="586"/>
      <c r="M114" s="586"/>
      <c r="N114" s="586"/>
      <c r="O114" s="586"/>
      <c r="P114" s="586"/>
      <c r="Q114" s="586"/>
    </row>
    <row r="115" spans="10:17">
      <c r="J115" s="584"/>
      <c r="K115" s="585"/>
      <c r="L115" s="586"/>
      <c r="M115" s="586"/>
      <c r="N115" s="586"/>
      <c r="O115" s="586"/>
      <c r="P115" s="586"/>
      <c r="Q115" s="586"/>
    </row>
    <row r="116" spans="10:17">
      <c r="J116" s="584"/>
      <c r="K116" s="585"/>
      <c r="L116" s="586"/>
      <c r="M116" s="586"/>
      <c r="N116" s="586"/>
      <c r="O116" s="586"/>
      <c r="P116" s="586"/>
      <c r="Q116" s="586"/>
    </row>
    <row r="117" spans="10:17">
      <c r="J117" s="584"/>
      <c r="K117" s="585"/>
      <c r="L117" s="586"/>
      <c r="M117" s="586"/>
      <c r="N117" s="586"/>
      <c r="O117" s="586"/>
      <c r="P117" s="586"/>
      <c r="Q117" s="586"/>
    </row>
    <row r="118" spans="10:17">
      <c r="J118" s="584"/>
      <c r="K118" s="585"/>
      <c r="L118" s="586"/>
      <c r="M118" s="586"/>
      <c r="N118" s="586"/>
      <c r="O118" s="586"/>
      <c r="P118" s="586"/>
      <c r="Q118" s="586"/>
    </row>
    <row r="119" spans="10:17">
      <c r="J119" s="584"/>
      <c r="K119" s="585"/>
      <c r="L119" s="586"/>
      <c r="M119" s="586"/>
      <c r="N119" s="586"/>
      <c r="O119" s="586"/>
      <c r="P119" s="586"/>
      <c r="Q119" s="586"/>
    </row>
    <row r="120" spans="10:17">
      <c r="J120" s="584"/>
      <c r="K120" s="585"/>
      <c r="L120" s="586"/>
      <c r="M120" s="586"/>
      <c r="N120" s="586"/>
      <c r="O120" s="586"/>
      <c r="P120" s="586"/>
      <c r="Q120" s="586"/>
    </row>
    <row r="121" spans="10:17">
      <c r="J121" s="584"/>
      <c r="K121" s="585"/>
      <c r="L121" s="586"/>
      <c r="M121" s="586"/>
      <c r="N121" s="586"/>
      <c r="O121" s="586"/>
      <c r="P121" s="586"/>
      <c r="Q121" s="586"/>
    </row>
    <row r="122" spans="10:17">
      <c r="J122" s="584"/>
      <c r="K122" s="585"/>
      <c r="L122" s="586"/>
      <c r="M122" s="586"/>
      <c r="N122" s="586"/>
      <c r="O122" s="586"/>
      <c r="P122" s="586"/>
      <c r="Q122" s="586"/>
    </row>
    <row r="123" spans="10:17">
      <c r="J123" s="584"/>
      <c r="K123" s="585"/>
      <c r="L123" s="586"/>
      <c r="M123" s="586"/>
      <c r="N123" s="586"/>
      <c r="O123" s="586"/>
      <c r="P123" s="586"/>
      <c r="Q123" s="586"/>
    </row>
    <row r="124" spans="10:17">
      <c r="J124" s="584"/>
      <c r="K124" s="585"/>
      <c r="L124" s="586"/>
      <c r="M124" s="586"/>
      <c r="N124" s="586"/>
      <c r="O124" s="586"/>
      <c r="P124" s="586"/>
      <c r="Q124" s="586"/>
    </row>
    <row r="125" spans="10:17">
      <c r="J125" s="584"/>
      <c r="K125" s="585"/>
      <c r="L125" s="586"/>
      <c r="M125" s="586"/>
      <c r="N125" s="586"/>
      <c r="O125" s="586"/>
      <c r="P125" s="586"/>
      <c r="Q125" s="586"/>
    </row>
    <row r="126" spans="10:17">
      <c r="J126" s="584"/>
      <c r="K126" s="585"/>
      <c r="L126" s="586"/>
      <c r="M126" s="586"/>
      <c r="N126" s="586"/>
      <c r="O126" s="586"/>
      <c r="P126" s="586"/>
      <c r="Q126" s="586"/>
    </row>
    <row r="127" spans="10:17">
      <c r="J127" s="584"/>
      <c r="K127" s="585"/>
      <c r="L127" s="586"/>
      <c r="M127" s="586"/>
      <c r="N127" s="586"/>
      <c r="O127" s="586"/>
      <c r="P127" s="586"/>
      <c r="Q127" s="586"/>
    </row>
    <row r="128" spans="10:17">
      <c r="J128" s="584"/>
      <c r="K128" s="585"/>
      <c r="L128" s="586"/>
      <c r="M128" s="586"/>
      <c r="N128" s="586"/>
      <c r="O128" s="586"/>
      <c r="P128" s="586"/>
      <c r="Q128" s="586"/>
    </row>
    <row r="129" spans="10:17">
      <c r="J129" s="584"/>
      <c r="K129" s="585"/>
      <c r="L129" s="586"/>
      <c r="M129" s="586"/>
      <c r="N129" s="586"/>
      <c r="O129" s="586"/>
      <c r="P129" s="586"/>
      <c r="Q129" s="586"/>
    </row>
    <row r="130" spans="10:17">
      <c r="J130" s="584"/>
      <c r="K130" s="585"/>
      <c r="L130" s="586"/>
      <c r="M130" s="586"/>
      <c r="N130" s="586"/>
      <c r="O130" s="586"/>
      <c r="P130" s="586"/>
      <c r="Q130" s="586"/>
    </row>
    <row r="131" spans="10:17">
      <c r="J131" s="584"/>
      <c r="K131" s="585"/>
      <c r="L131" s="586"/>
      <c r="M131" s="586"/>
      <c r="N131" s="586"/>
      <c r="O131" s="586"/>
      <c r="P131" s="586"/>
      <c r="Q131" s="586"/>
    </row>
    <row r="132" spans="10:17">
      <c r="J132" s="584"/>
      <c r="K132" s="585"/>
      <c r="L132" s="586"/>
      <c r="M132" s="586"/>
      <c r="N132" s="586"/>
      <c r="O132" s="586"/>
      <c r="P132" s="586"/>
      <c r="Q132" s="586"/>
    </row>
    <row r="133" spans="10:17">
      <c r="J133" s="584"/>
      <c r="K133" s="585"/>
      <c r="L133" s="586"/>
      <c r="M133" s="586"/>
      <c r="N133" s="586"/>
      <c r="O133" s="586"/>
      <c r="P133" s="586"/>
      <c r="Q133" s="586"/>
    </row>
    <row r="134" spans="10:17">
      <c r="J134" s="584"/>
      <c r="K134" s="585"/>
      <c r="L134" s="586"/>
      <c r="M134" s="586"/>
      <c r="N134" s="586"/>
      <c r="O134" s="586"/>
      <c r="P134" s="586"/>
      <c r="Q134" s="586"/>
    </row>
    <row r="135" spans="10:17">
      <c r="J135" s="584"/>
      <c r="K135" s="585"/>
      <c r="L135" s="586"/>
      <c r="M135" s="586"/>
      <c r="N135" s="586"/>
      <c r="O135" s="586"/>
      <c r="P135" s="586"/>
      <c r="Q135" s="586"/>
    </row>
    <row r="136" spans="10:17">
      <c r="J136" s="584"/>
      <c r="K136" s="585"/>
      <c r="L136" s="586"/>
      <c r="M136" s="586"/>
      <c r="N136" s="586"/>
      <c r="O136" s="586"/>
      <c r="P136" s="586"/>
      <c r="Q136" s="586"/>
    </row>
    <row r="137" spans="10:17">
      <c r="J137" s="584"/>
      <c r="K137" s="585"/>
      <c r="L137" s="586"/>
      <c r="M137" s="586"/>
      <c r="N137" s="586"/>
      <c r="O137" s="586"/>
      <c r="P137" s="586"/>
      <c r="Q137" s="586"/>
    </row>
    <row r="138" spans="10:17">
      <c r="J138" s="584"/>
      <c r="K138" s="585"/>
      <c r="L138" s="586"/>
      <c r="M138" s="586"/>
      <c r="N138" s="586"/>
      <c r="O138" s="586"/>
      <c r="P138" s="586"/>
      <c r="Q138" s="586"/>
    </row>
    <row r="139" spans="10:17">
      <c r="J139" s="584"/>
      <c r="K139" s="585"/>
      <c r="L139" s="586"/>
      <c r="M139" s="586"/>
      <c r="N139" s="586"/>
      <c r="O139" s="586"/>
      <c r="P139" s="586"/>
      <c r="Q139" s="586"/>
    </row>
    <row r="140" spans="10:17">
      <c r="J140" s="584"/>
      <c r="K140" s="585"/>
      <c r="L140" s="586"/>
      <c r="M140" s="586"/>
      <c r="N140" s="586"/>
      <c r="O140" s="586"/>
      <c r="P140" s="586"/>
      <c r="Q140" s="586"/>
    </row>
    <row r="141" spans="10:17">
      <c r="J141" s="584"/>
      <c r="K141" s="585"/>
      <c r="L141" s="586"/>
      <c r="M141" s="586"/>
      <c r="N141" s="586"/>
      <c r="O141" s="586"/>
      <c r="P141" s="586"/>
      <c r="Q141" s="586"/>
    </row>
    <row r="142" spans="10:17">
      <c r="J142" s="584"/>
      <c r="K142" s="585"/>
      <c r="L142" s="586"/>
      <c r="M142" s="586"/>
      <c r="N142" s="586"/>
      <c r="O142" s="586"/>
      <c r="P142" s="586"/>
      <c r="Q142" s="586"/>
    </row>
    <row r="143" spans="10:17">
      <c r="J143" s="584"/>
      <c r="K143" s="585"/>
      <c r="L143" s="586"/>
      <c r="M143" s="586"/>
      <c r="N143" s="586"/>
      <c r="O143" s="586"/>
      <c r="P143" s="586"/>
      <c r="Q143" s="586"/>
    </row>
    <row r="144" spans="10:17">
      <c r="J144" s="584"/>
      <c r="K144" s="585"/>
      <c r="L144" s="586"/>
      <c r="M144" s="586"/>
      <c r="N144" s="586"/>
      <c r="O144" s="586"/>
      <c r="P144" s="586"/>
      <c r="Q144" s="586"/>
    </row>
    <row r="145" spans="10:17">
      <c r="J145" s="584"/>
      <c r="K145" s="585"/>
      <c r="L145" s="586"/>
      <c r="M145" s="586"/>
      <c r="N145" s="586"/>
      <c r="O145" s="586"/>
      <c r="P145" s="586"/>
      <c r="Q145" s="586"/>
    </row>
    <row r="146" spans="10:17">
      <c r="J146" s="584"/>
      <c r="K146" s="585"/>
      <c r="L146" s="586"/>
      <c r="M146" s="586"/>
      <c r="N146" s="586"/>
      <c r="O146" s="586"/>
      <c r="P146" s="586"/>
      <c r="Q146" s="586"/>
    </row>
    <row r="147" spans="10:17">
      <c r="J147" s="584"/>
      <c r="K147" s="585"/>
      <c r="L147" s="586"/>
      <c r="M147" s="586"/>
      <c r="N147" s="586"/>
      <c r="O147" s="586"/>
      <c r="P147" s="586"/>
      <c r="Q147" s="586"/>
    </row>
    <row r="148" spans="10:17">
      <c r="J148" s="584"/>
      <c r="K148" s="585"/>
      <c r="L148" s="586"/>
      <c r="M148" s="586"/>
      <c r="N148" s="586"/>
      <c r="O148" s="586"/>
      <c r="P148" s="586"/>
      <c r="Q148" s="586"/>
    </row>
    <row r="149" spans="10:17">
      <c r="J149" s="584"/>
      <c r="K149" s="585"/>
      <c r="L149" s="586"/>
      <c r="M149" s="586"/>
      <c r="N149" s="586"/>
      <c r="O149" s="586"/>
      <c r="P149" s="586"/>
      <c r="Q149" s="586"/>
    </row>
    <row r="150" spans="10:17">
      <c r="J150" s="584"/>
      <c r="K150" s="585"/>
      <c r="L150" s="586"/>
      <c r="M150" s="586"/>
      <c r="N150" s="586"/>
      <c r="O150" s="586"/>
      <c r="P150" s="586"/>
      <c r="Q150" s="586"/>
    </row>
    <row r="151" spans="10:17">
      <c r="J151" s="584"/>
      <c r="K151" s="585"/>
      <c r="L151" s="586"/>
      <c r="M151" s="586"/>
      <c r="N151" s="586"/>
      <c r="O151" s="586"/>
      <c r="P151" s="586"/>
      <c r="Q151" s="586"/>
    </row>
    <row r="152" spans="10:17">
      <c r="J152" s="584"/>
      <c r="K152" s="585"/>
      <c r="L152" s="586"/>
      <c r="M152" s="586"/>
      <c r="N152" s="586"/>
      <c r="O152" s="586"/>
      <c r="P152" s="586"/>
      <c r="Q152" s="586"/>
    </row>
    <row r="153" spans="10:17">
      <c r="J153" s="584"/>
      <c r="K153" s="585"/>
      <c r="L153" s="586"/>
      <c r="M153" s="586"/>
      <c r="N153" s="586"/>
      <c r="O153" s="586"/>
      <c r="P153" s="586"/>
      <c r="Q153" s="586"/>
    </row>
    <row r="154" spans="10:17">
      <c r="J154" s="584"/>
      <c r="K154" s="585"/>
      <c r="L154" s="586"/>
      <c r="M154" s="586"/>
      <c r="N154" s="586"/>
      <c r="O154" s="586"/>
      <c r="P154" s="586"/>
      <c r="Q154" s="586"/>
    </row>
    <row r="155" spans="10:17">
      <c r="J155" s="584"/>
      <c r="K155" s="585"/>
      <c r="L155" s="586"/>
      <c r="M155" s="586"/>
      <c r="N155" s="586"/>
      <c r="O155" s="586"/>
      <c r="P155" s="586"/>
      <c r="Q155" s="586"/>
    </row>
    <row r="156" spans="10:17">
      <c r="J156" s="584"/>
      <c r="K156" s="585"/>
      <c r="L156" s="586"/>
      <c r="M156" s="586"/>
      <c r="N156" s="586"/>
      <c r="O156" s="586"/>
      <c r="P156" s="586"/>
      <c r="Q156" s="586"/>
    </row>
    <row r="157" spans="10:17">
      <c r="J157" s="584"/>
      <c r="K157" s="585"/>
      <c r="L157" s="586"/>
      <c r="M157" s="586"/>
      <c r="N157" s="586"/>
      <c r="O157" s="586"/>
      <c r="P157" s="586"/>
      <c r="Q157" s="586"/>
    </row>
    <row r="158" spans="10:17">
      <c r="J158" s="584"/>
      <c r="K158" s="585"/>
      <c r="L158" s="586"/>
      <c r="M158" s="586"/>
      <c r="N158" s="586"/>
      <c r="O158" s="586"/>
      <c r="P158" s="586"/>
      <c r="Q158" s="586"/>
    </row>
    <row r="159" spans="10:17">
      <c r="J159" s="584"/>
      <c r="K159" s="585"/>
      <c r="L159" s="586"/>
      <c r="M159" s="586"/>
      <c r="N159" s="586"/>
      <c r="O159" s="586"/>
      <c r="P159" s="586"/>
      <c r="Q159" s="586"/>
    </row>
    <row r="160" spans="10:17">
      <c r="J160" s="584"/>
      <c r="K160" s="585"/>
      <c r="L160" s="586"/>
      <c r="M160" s="586"/>
      <c r="N160" s="586"/>
      <c r="O160" s="586"/>
      <c r="P160" s="586"/>
      <c r="Q160" s="586"/>
    </row>
    <row r="161" spans="10:17">
      <c r="J161" s="584"/>
      <c r="K161" s="585"/>
      <c r="L161" s="586"/>
      <c r="M161" s="586"/>
      <c r="N161" s="586"/>
      <c r="O161" s="586"/>
      <c r="P161" s="586"/>
      <c r="Q161" s="586"/>
    </row>
  </sheetData>
  <mergeCells count="13">
    <mergeCell ref="R1:R2"/>
    <mergeCell ref="A1:A2"/>
    <mergeCell ref="B1:B2"/>
    <mergeCell ref="C1:C2"/>
    <mergeCell ref="K1:L1"/>
    <mergeCell ref="O1:Q1"/>
    <mergeCell ref="H1:H2"/>
    <mergeCell ref="I1:I2"/>
    <mergeCell ref="J1:J2"/>
    <mergeCell ref="D1:D2"/>
    <mergeCell ref="E1:E2"/>
    <mergeCell ref="F1:F2"/>
    <mergeCell ref="G1:G2"/>
  </mergeCells>
  <phoneticPr fontId="106" type="noConversion"/>
  <dataValidations count="6">
    <dataValidation type="list" allowBlank="1" showInputMessage="1" showErrorMessage="1" sqref="O1:O1048576 P3:Q161 M3:N161 K1:L1048576" xr:uid="{00000000-0002-0000-1200-000000000000}">
      <formula1>"PASS,FAIL,NT,BLOCK,"</formula1>
    </dataValidation>
    <dataValidation type="list" allowBlank="1" showInputMessage="1" showErrorMessage="1" sqref="J1:J1048576" xr:uid="{00000000-0002-0000-1200-000002000000}">
      <formula1>"硅前,硅后,硅前硅后,"</formula1>
    </dataValidation>
    <dataValidation type="list" allowBlank="1" showInputMessage="1" showErrorMessage="1" sqref="C3:C8 C13:C15" xr:uid="{00000000-0002-0000-1200-000004000000}">
      <formula1>"Basicfunction,Cross-module,Boundary,Pressure,Performance"</formula1>
    </dataValidation>
    <dataValidation type="list" allowBlank="1" showInputMessage="1" showErrorMessage="1" sqref="C12" xr:uid="{00000000-0002-0000-1200-000005000000}">
      <formula1>"Basicfunction,Cross-module,Pressure,Performance"</formula1>
    </dataValidation>
    <dataValidation type="list" allowBlank="1" showInputMessage="1" showErrorMessage="1" sqref="H3:H15" xr:uid="{00000000-0002-0000-1200-000007000000}">
      <formula1>"P0,P1,P2"</formula1>
    </dataValidation>
    <dataValidation type="list" allowBlank="1" showInputMessage="1" showErrorMessage="1" sqref="I3:I15" xr:uid="{00000000-0002-0000-1200-000008000000}">
      <formula1>"Yes,No"</formula1>
    </dataValidation>
  </dataValidations>
  <hyperlinks>
    <hyperlink ref="R13" r:id="rId1" xr:uid="{00000000-0004-0000-1200-000000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用例执行情况说明">
    <tabColor rgb="FFFFFFFF"/>
  </sheetPr>
  <dimension ref="A1:P52"/>
  <sheetViews>
    <sheetView workbookViewId="0"/>
  </sheetViews>
  <sheetFormatPr defaultRowHeight="14"/>
  <cols>
    <col min="1" max="1" width="5.36328125" style="886" customWidth="1"/>
    <col min="2" max="2" width="17.54296875" style="943" customWidth="1"/>
    <col min="3" max="4" width="13.453125" style="943" customWidth="1"/>
    <col min="5" max="5" width="13.453125" style="886" customWidth="1"/>
    <col min="6" max="13" width="13.453125" style="943" customWidth="1"/>
    <col min="14" max="16" width="13.453125" style="886" customWidth="1"/>
  </cols>
  <sheetData>
    <row r="1" spans="2:16">
      <c r="B1" s="969" t="s">
        <v>3154</v>
      </c>
      <c r="C1" s="970"/>
      <c r="D1" s="970"/>
      <c r="F1" s="886"/>
      <c r="G1" s="886"/>
      <c r="H1" s="886"/>
      <c r="I1" s="886"/>
      <c r="J1" s="886"/>
      <c r="K1" s="886"/>
      <c r="L1" s="886"/>
      <c r="M1" s="886"/>
    </row>
    <row r="2" spans="2:16">
      <c r="B2" s="971" t="s">
        <v>2327</v>
      </c>
      <c r="C2" s="964" t="s">
        <v>2328</v>
      </c>
      <c r="D2" s="965" t="s">
        <v>3155</v>
      </c>
      <c r="E2" s="952" t="s">
        <v>3156</v>
      </c>
      <c r="F2" s="966" t="s">
        <v>2329</v>
      </c>
      <c r="G2" s="956" t="s">
        <v>3157</v>
      </c>
      <c r="H2" s="957"/>
      <c r="I2" s="957"/>
      <c r="J2" s="957"/>
      <c r="K2" s="957"/>
      <c r="L2" s="957"/>
      <c r="M2" s="957"/>
      <c r="N2" s="957"/>
      <c r="O2" s="957"/>
      <c r="P2" s="954" t="s">
        <v>2330</v>
      </c>
    </row>
    <row r="3" spans="2:16">
      <c r="B3" s="963"/>
      <c r="C3" s="953"/>
      <c r="D3" s="953"/>
      <c r="E3" s="953"/>
      <c r="F3" s="967"/>
      <c r="G3" s="887" t="s">
        <v>3158</v>
      </c>
      <c r="H3" s="888" t="s">
        <v>548</v>
      </c>
      <c r="I3" s="889" t="s">
        <v>1342</v>
      </c>
      <c r="J3" s="889" t="s">
        <v>3159</v>
      </c>
      <c r="K3" s="889" t="s">
        <v>626</v>
      </c>
      <c r="L3" s="889" t="s">
        <v>3160</v>
      </c>
      <c r="M3" s="890" t="s">
        <v>3161</v>
      </c>
      <c r="N3" s="890" t="s">
        <v>3162</v>
      </c>
      <c r="O3" s="891" t="s">
        <v>3163</v>
      </c>
      <c r="P3" s="955"/>
    </row>
    <row r="4" spans="2:16">
      <c r="B4" s="892" t="s">
        <v>1342</v>
      </c>
      <c r="C4" s="893">
        <f>COUNTIF(fanout!A:A,"*fanout*")</f>
        <v>25</v>
      </c>
      <c r="D4" s="894">
        <f>SUM(Summary!C4+Summary!D4)</f>
        <v>25</v>
      </c>
      <c r="E4" s="895">
        <v>4</v>
      </c>
      <c r="F4" s="896">
        <f t="shared" ref="F4:F17" si="0">D4/C4</f>
        <v>1</v>
      </c>
      <c r="G4" s="897">
        <v>1</v>
      </c>
      <c r="H4" s="898"/>
      <c r="I4" s="898"/>
      <c r="J4" s="898"/>
      <c r="K4" s="898"/>
      <c r="L4" s="898"/>
      <c r="M4" s="899"/>
      <c r="N4" s="899">
        <v>3</v>
      </c>
      <c r="O4" s="808">
        <f t="shared" ref="O4:O16" si="1">SUM(G4:N4)</f>
        <v>4</v>
      </c>
      <c r="P4" s="900" t="s">
        <v>2334</v>
      </c>
    </row>
    <row r="5" spans="2:16">
      <c r="B5" s="892" t="s">
        <v>1343</v>
      </c>
      <c r="C5" s="893">
        <f>COUNTIF(AI场景!A:A,"PCI*")</f>
        <v>36</v>
      </c>
      <c r="D5" s="894">
        <f>SUM(Summary!C5+Summary!D5)</f>
        <v>34</v>
      </c>
      <c r="E5" s="895">
        <f t="shared" ref="E5:E16" si="2">C5-D5</f>
        <v>2</v>
      </c>
      <c r="F5" s="896">
        <f t="shared" si="0"/>
        <v>0.94444444444444442</v>
      </c>
      <c r="G5" s="897"/>
      <c r="H5" s="898"/>
      <c r="I5" s="898">
        <v>10</v>
      </c>
      <c r="J5" s="898"/>
      <c r="K5" s="898"/>
      <c r="L5" s="898">
        <v>7</v>
      </c>
      <c r="M5" s="899"/>
      <c r="N5" s="899"/>
      <c r="O5" s="808">
        <f t="shared" si="1"/>
        <v>17</v>
      </c>
      <c r="P5" s="900" t="s">
        <v>2334</v>
      </c>
    </row>
    <row r="6" spans="2:16">
      <c r="B6" s="892" t="s">
        <v>1344</v>
      </c>
      <c r="C6" s="893">
        <f>COUNTIF(存储场景!A:A,"*PCI*")</f>
        <v>30</v>
      </c>
      <c r="D6" s="894">
        <f>SUM(Summary!C6+Summary!D6)</f>
        <v>27</v>
      </c>
      <c r="E6" s="895">
        <f t="shared" si="2"/>
        <v>3</v>
      </c>
      <c r="F6" s="896">
        <f t="shared" si="0"/>
        <v>0.9</v>
      </c>
      <c r="G6" s="897">
        <v>3</v>
      </c>
      <c r="H6" s="898"/>
      <c r="I6" s="898"/>
      <c r="J6" s="898"/>
      <c r="K6" s="898"/>
      <c r="L6" s="898">
        <v>3</v>
      </c>
      <c r="M6" s="899"/>
      <c r="N6" s="899">
        <v>2</v>
      </c>
      <c r="O6" s="808">
        <f t="shared" si="1"/>
        <v>8</v>
      </c>
      <c r="P6" s="900" t="s">
        <v>2335</v>
      </c>
    </row>
    <row r="7" spans="2:16">
      <c r="B7" s="892" t="s">
        <v>1345</v>
      </c>
      <c r="C7" s="893">
        <f>COUNTIF(网络场景!A:A,"PCI*")</f>
        <v>32</v>
      </c>
      <c r="D7" s="894">
        <f>SUM(Summary!C7+Summary!D7)</f>
        <v>32</v>
      </c>
      <c r="E7" s="895">
        <f t="shared" si="2"/>
        <v>0</v>
      </c>
      <c r="F7" s="901">
        <f t="shared" si="0"/>
        <v>1</v>
      </c>
      <c r="G7" s="897">
        <v>2</v>
      </c>
      <c r="H7" s="898"/>
      <c r="I7" s="898">
        <v>7</v>
      </c>
      <c r="J7" s="898">
        <v>1</v>
      </c>
      <c r="K7" s="898"/>
      <c r="L7" s="898"/>
      <c r="M7" s="899"/>
      <c r="N7" s="899"/>
      <c r="O7" s="808">
        <f t="shared" si="1"/>
        <v>10</v>
      </c>
      <c r="P7" s="900" t="s">
        <v>2336</v>
      </c>
    </row>
    <row r="8" spans="2:16">
      <c r="B8" s="892" t="s">
        <v>1346</v>
      </c>
      <c r="C8" s="893">
        <f>COUNTIF(压力测试!A:A,"PCI*")</f>
        <v>13</v>
      </c>
      <c r="D8" s="894">
        <f>SUM(Summary!C8+Summary!D8)</f>
        <v>13</v>
      </c>
      <c r="E8" s="895">
        <f t="shared" si="2"/>
        <v>0</v>
      </c>
      <c r="F8" s="896">
        <f t="shared" si="0"/>
        <v>1</v>
      </c>
      <c r="G8" s="902">
        <v>2</v>
      </c>
      <c r="H8" s="898"/>
      <c r="I8" s="898"/>
      <c r="J8" s="898"/>
      <c r="K8" s="898"/>
      <c r="L8" s="898">
        <v>1</v>
      </c>
      <c r="M8" s="899"/>
      <c r="N8" s="899"/>
      <c r="O8" s="808">
        <f t="shared" si="1"/>
        <v>3</v>
      </c>
      <c r="P8" s="900" t="s">
        <v>2338</v>
      </c>
    </row>
    <row r="9" spans="2:16">
      <c r="B9" s="892" t="s">
        <v>1347</v>
      </c>
      <c r="C9" s="893">
        <f>COUNTIF(协议类测试!A:A,"PCI*")</f>
        <v>237</v>
      </c>
      <c r="D9" s="894">
        <f>SUM(Summary!C9+Summary!D9)</f>
        <v>237</v>
      </c>
      <c r="E9" s="895">
        <f t="shared" si="2"/>
        <v>0</v>
      </c>
      <c r="F9" s="896">
        <f t="shared" si="0"/>
        <v>1</v>
      </c>
      <c r="G9" s="903">
        <f t="shared" ref="G9:N9" si="3">G44</f>
        <v>4</v>
      </c>
      <c r="H9" s="899">
        <f t="shared" si="3"/>
        <v>14</v>
      </c>
      <c r="I9" s="899">
        <f t="shared" si="3"/>
        <v>0</v>
      </c>
      <c r="J9" s="899">
        <f t="shared" si="3"/>
        <v>0</v>
      </c>
      <c r="K9" s="899">
        <f t="shared" si="3"/>
        <v>86</v>
      </c>
      <c r="L9" s="899">
        <f t="shared" si="3"/>
        <v>3</v>
      </c>
      <c r="M9" s="899">
        <f t="shared" si="3"/>
        <v>38</v>
      </c>
      <c r="N9" s="899">
        <f t="shared" si="3"/>
        <v>13</v>
      </c>
      <c r="O9" s="808">
        <f t="shared" si="1"/>
        <v>158</v>
      </c>
      <c r="P9" s="900" t="s">
        <v>2338</v>
      </c>
    </row>
    <row r="10" spans="2:16">
      <c r="B10" s="892" t="s">
        <v>1348</v>
      </c>
      <c r="C10" s="893">
        <f>COUNTIF(PCISIG!A:A,"PCI*")</f>
        <v>41</v>
      </c>
      <c r="D10" s="894">
        <f>SUM(Summary!C10+Summary!D10)</f>
        <v>41</v>
      </c>
      <c r="E10" s="895">
        <f t="shared" si="2"/>
        <v>0</v>
      </c>
      <c r="F10" s="904">
        <f t="shared" si="0"/>
        <v>1</v>
      </c>
      <c r="G10" s="897"/>
      <c r="H10" s="898"/>
      <c r="I10" s="898"/>
      <c r="J10" s="898"/>
      <c r="K10" s="898">
        <v>37</v>
      </c>
      <c r="L10" s="898"/>
      <c r="M10" s="899"/>
      <c r="N10" s="899"/>
      <c r="O10" s="808">
        <f t="shared" si="1"/>
        <v>37</v>
      </c>
      <c r="P10" s="900" t="s">
        <v>2334</v>
      </c>
    </row>
    <row r="11" spans="2:16">
      <c r="B11" s="892" t="s">
        <v>1349</v>
      </c>
      <c r="C11" s="893">
        <f>COUNTIF(PCIECV_USP!A:A,"PCI*")</f>
        <v>88</v>
      </c>
      <c r="D11" s="894">
        <f>SUM(Summary!C11+Summary!D11)</f>
        <v>88</v>
      </c>
      <c r="E11" s="895">
        <f t="shared" si="2"/>
        <v>0</v>
      </c>
      <c r="F11" s="905">
        <f t="shared" si="0"/>
        <v>1</v>
      </c>
      <c r="G11" s="897"/>
      <c r="H11" s="898"/>
      <c r="I11" s="898"/>
      <c r="J11" s="898">
        <v>88</v>
      </c>
      <c r="K11" s="898"/>
      <c r="L11" s="898"/>
      <c r="M11" s="899"/>
      <c r="N11" s="899"/>
      <c r="O11" s="808">
        <f t="shared" si="1"/>
        <v>88</v>
      </c>
      <c r="P11" s="900" t="s">
        <v>2916</v>
      </c>
    </row>
    <row r="12" spans="2:16">
      <c r="B12" s="892" t="s">
        <v>1350</v>
      </c>
      <c r="C12" s="893">
        <f>COUNTIF(PCIECV_DSP!A:A,"PCI*")</f>
        <v>89</v>
      </c>
      <c r="D12" s="894">
        <f>SUM(Summary!C12+Summary!D12)</f>
        <v>89</v>
      </c>
      <c r="E12" s="895">
        <f t="shared" si="2"/>
        <v>0</v>
      </c>
      <c r="F12" s="905">
        <f t="shared" si="0"/>
        <v>1</v>
      </c>
      <c r="G12" s="897"/>
      <c r="H12" s="898"/>
      <c r="I12" s="898"/>
      <c r="J12" s="898">
        <v>86</v>
      </c>
      <c r="K12" s="898"/>
      <c r="L12" s="898"/>
      <c r="M12" s="899"/>
      <c r="N12" s="899"/>
      <c r="O12" s="808">
        <f t="shared" si="1"/>
        <v>86</v>
      </c>
      <c r="P12" s="900" t="s">
        <v>2346</v>
      </c>
    </row>
    <row r="13" spans="2:16">
      <c r="B13" s="892" t="s">
        <v>1351</v>
      </c>
      <c r="C13" s="893">
        <v>324</v>
      </c>
      <c r="D13" s="894">
        <f>SUM(Summary!C13+Summary!D13)</f>
        <v>330</v>
      </c>
      <c r="E13" s="895">
        <f t="shared" si="2"/>
        <v>-6</v>
      </c>
      <c r="F13" s="896">
        <f t="shared" si="0"/>
        <v>1.0185185185185186</v>
      </c>
      <c r="G13" s="897"/>
      <c r="H13" s="898"/>
      <c r="I13" s="898"/>
      <c r="J13" s="898">
        <v>323</v>
      </c>
      <c r="K13" s="898"/>
      <c r="L13" s="898"/>
      <c r="M13" s="899"/>
      <c r="N13" s="899"/>
      <c r="O13" s="808">
        <f t="shared" si="1"/>
        <v>323</v>
      </c>
      <c r="P13" s="900" t="s">
        <v>2346</v>
      </c>
    </row>
    <row r="14" spans="2:16">
      <c r="B14" s="892" t="s">
        <v>1352</v>
      </c>
      <c r="C14" s="893">
        <f>COUNTIF(DMA!A:A,"PCI*")</f>
        <v>17</v>
      </c>
      <c r="D14" s="894">
        <f>SUM(Summary!C14+Summary!D14)</f>
        <v>17</v>
      </c>
      <c r="E14" s="895">
        <f t="shared" si="2"/>
        <v>0</v>
      </c>
      <c r="F14" s="904">
        <f t="shared" si="0"/>
        <v>1</v>
      </c>
      <c r="G14" s="897"/>
      <c r="H14" s="898"/>
      <c r="I14" s="898"/>
      <c r="J14" s="898"/>
      <c r="K14" s="898"/>
      <c r="L14" s="898"/>
      <c r="M14" s="899"/>
      <c r="N14" s="899"/>
      <c r="O14" s="808">
        <f t="shared" si="1"/>
        <v>0</v>
      </c>
      <c r="P14" s="900" t="s">
        <v>2332</v>
      </c>
    </row>
    <row r="15" spans="2:16">
      <c r="B15" s="892" t="s">
        <v>1353</v>
      </c>
      <c r="C15" s="893">
        <f>COUNTIF(管理工具!A:A,"PCI*")</f>
        <v>165</v>
      </c>
      <c r="D15" s="894">
        <f>SUM(Summary!C15+Summary!D15)</f>
        <v>147</v>
      </c>
      <c r="E15" s="895">
        <f t="shared" si="2"/>
        <v>18</v>
      </c>
      <c r="F15" s="905">
        <f t="shared" si="0"/>
        <v>0.89090909090909087</v>
      </c>
      <c r="G15" s="897">
        <v>71</v>
      </c>
      <c r="H15" s="898"/>
      <c r="I15" s="898"/>
      <c r="J15" s="898"/>
      <c r="K15" s="898"/>
      <c r="L15" s="898"/>
      <c r="M15" s="899"/>
      <c r="N15" s="899"/>
      <c r="O15" s="808">
        <f t="shared" si="1"/>
        <v>71</v>
      </c>
      <c r="P15" s="900" t="s">
        <v>2346</v>
      </c>
    </row>
    <row r="16" spans="2:16">
      <c r="B16" s="892" t="s">
        <v>1354</v>
      </c>
      <c r="C16" s="893">
        <f>COUNTIF(兼容性!A:A,"PCI*")</f>
        <v>33</v>
      </c>
      <c r="D16" s="894">
        <f>SUM(Summary!C16+Summary!D16)</f>
        <v>33</v>
      </c>
      <c r="E16" s="895">
        <f t="shared" si="2"/>
        <v>0</v>
      </c>
      <c r="F16" s="905">
        <f t="shared" si="0"/>
        <v>1</v>
      </c>
      <c r="G16" s="897"/>
      <c r="H16" s="898"/>
      <c r="I16" s="898"/>
      <c r="J16" s="898"/>
      <c r="K16" s="898"/>
      <c r="L16" s="898"/>
      <c r="M16" s="899"/>
      <c r="N16" s="899">
        <v>2</v>
      </c>
      <c r="O16" s="808">
        <f t="shared" si="1"/>
        <v>2</v>
      </c>
      <c r="P16" s="900" t="s">
        <v>2336</v>
      </c>
    </row>
    <row r="17" spans="2:16">
      <c r="B17" s="906" t="s">
        <v>2340</v>
      </c>
      <c r="C17" s="907">
        <f>SUM(C4:C16)</f>
        <v>1130</v>
      </c>
      <c r="D17" s="908">
        <f>SUM(D4:D16)</f>
        <v>1113</v>
      </c>
      <c r="E17" s="909">
        <f>SUM(E4:E16)</f>
        <v>21</v>
      </c>
      <c r="F17" s="910">
        <f t="shared" si="0"/>
        <v>0.9849557522123894</v>
      </c>
      <c r="G17" s="911">
        <f t="shared" ref="G17:O17" si="4">SUM(G4:G16)</f>
        <v>83</v>
      </c>
      <c r="H17" s="912">
        <f t="shared" si="4"/>
        <v>14</v>
      </c>
      <c r="I17" s="912">
        <f t="shared" si="4"/>
        <v>17</v>
      </c>
      <c r="J17" s="912">
        <f t="shared" si="4"/>
        <v>498</v>
      </c>
      <c r="K17" s="912">
        <f t="shared" si="4"/>
        <v>123</v>
      </c>
      <c r="L17" s="912">
        <f t="shared" si="4"/>
        <v>14</v>
      </c>
      <c r="M17" s="912">
        <f t="shared" si="4"/>
        <v>38</v>
      </c>
      <c r="N17" s="912">
        <f t="shared" si="4"/>
        <v>20</v>
      </c>
      <c r="O17" s="913">
        <f t="shared" si="4"/>
        <v>807</v>
      </c>
      <c r="P17" s="914"/>
    </row>
    <row r="18" spans="2:16">
      <c r="B18" s="886"/>
      <c r="C18" s="886"/>
      <c r="D18" s="886"/>
      <c r="F18" s="915"/>
      <c r="G18" s="915"/>
      <c r="H18" s="886"/>
      <c r="I18" s="886"/>
      <c r="J18" s="886"/>
      <c r="K18" s="886"/>
      <c r="L18" s="886"/>
      <c r="M18" s="886"/>
    </row>
    <row r="19" spans="2:16">
      <c r="B19" s="962" t="s">
        <v>2344</v>
      </c>
      <c r="C19" s="964" t="s">
        <v>2328</v>
      </c>
      <c r="D19" s="965" t="s">
        <v>3155</v>
      </c>
      <c r="E19" s="952" t="s">
        <v>3156</v>
      </c>
      <c r="F19" s="966" t="s">
        <v>2329</v>
      </c>
      <c r="G19" s="958" t="s">
        <v>3157</v>
      </c>
      <c r="H19" s="959"/>
      <c r="I19" s="959"/>
      <c r="J19" s="959"/>
      <c r="K19" s="959"/>
      <c r="L19" s="959"/>
      <c r="M19" s="959"/>
      <c r="N19" s="959"/>
      <c r="O19" s="960"/>
      <c r="P19" s="954" t="s">
        <v>2330</v>
      </c>
    </row>
    <row r="20" spans="2:16">
      <c r="B20" s="963"/>
      <c r="C20" s="953"/>
      <c r="D20" s="953"/>
      <c r="E20" s="953"/>
      <c r="F20" s="967"/>
      <c r="G20" s="916" t="s">
        <v>3158</v>
      </c>
      <c r="H20" s="917" t="s">
        <v>548</v>
      </c>
      <c r="I20" s="918" t="s">
        <v>1342</v>
      </c>
      <c r="J20" s="918" t="s">
        <v>3159</v>
      </c>
      <c r="K20" s="918" t="s">
        <v>626</v>
      </c>
      <c r="L20" s="918" t="s">
        <v>3160</v>
      </c>
      <c r="M20" s="919" t="s">
        <v>3161</v>
      </c>
      <c r="N20" s="919" t="s">
        <v>3162</v>
      </c>
      <c r="O20" s="891" t="s">
        <v>3163</v>
      </c>
      <c r="P20" s="955"/>
    </row>
    <row r="21" spans="2:16">
      <c r="B21" s="920" t="s">
        <v>2345</v>
      </c>
      <c r="C21" s="898">
        <v>7</v>
      </c>
      <c r="D21" s="894">
        <f>SUM(Summary!C22+Summary!D22)</f>
        <v>7</v>
      </c>
      <c r="E21" s="895">
        <f t="shared" ref="E21:E43" si="5">C21-D21</f>
        <v>0</v>
      </c>
      <c r="F21" s="921">
        <f t="shared" ref="F21:F44" si="6">D21/C21</f>
        <v>1</v>
      </c>
      <c r="G21" s="902"/>
      <c r="H21" s="922"/>
      <c r="I21" s="922"/>
      <c r="J21" s="922"/>
      <c r="K21" s="922"/>
      <c r="L21" s="922"/>
      <c r="M21" s="922"/>
      <c r="N21" s="923"/>
      <c r="O21" s="808">
        <f t="shared" ref="O21:O43" si="7">SUM(G21:N21)</f>
        <v>0</v>
      </c>
      <c r="P21" s="924" t="s">
        <v>2346</v>
      </c>
    </row>
    <row r="22" spans="2:16">
      <c r="B22" s="920" t="s">
        <v>2348</v>
      </c>
      <c r="C22" s="898">
        <v>8</v>
      </c>
      <c r="D22" s="894">
        <f>SUM(Summary!C23+Summary!D23)</f>
        <v>8</v>
      </c>
      <c r="E22" s="895">
        <f t="shared" si="5"/>
        <v>0</v>
      </c>
      <c r="F22" s="925">
        <f t="shared" si="6"/>
        <v>1</v>
      </c>
      <c r="G22" s="902"/>
      <c r="H22" s="922"/>
      <c r="I22" s="922"/>
      <c r="J22" s="922"/>
      <c r="K22" s="922"/>
      <c r="L22" s="922"/>
      <c r="M22" s="922"/>
      <c r="N22" s="923">
        <v>1</v>
      </c>
      <c r="O22" s="926">
        <f t="shared" si="7"/>
        <v>1</v>
      </c>
      <c r="P22" s="924" t="s">
        <v>2349</v>
      </c>
    </row>
    <row r="23" spans="2:16">
      <c r="B23" s="920" t="s">
        <v>2350</v>
      </c>
      <c r="C23" s="898">
        <v>20</v>
      </c>
      <c r="D23" s="894">
        <f>SUM(Summary!C24+Summary!D24)</f>
        <v>19</v>
      </c>
      <c r="E23" s="895">
        <f t="shared" si="5"/>
        <v>1</v>
      </c>
      <c r="F23" s="925">
        <f t="shared" si="6"/>
        <v>0.95</v>
      </c>
      <c r="G23" s="902"/>
      <c r="H23" s="922">
        <v>1</v>
      </c>
      <c r="I23" s="922"/>
      <c r="J23" s="922"/>
      <c r="K23" s="922"/>
      <c r="L23" s="922">
        <v>1</v>
      </c>
      <c r="M23" s="922"/>
      <c r="N23" s="923">
        <v>2</v>
      </c>
      <c r="O23" s="926">
        <f t="shared" si="7"/>
        <v>4</v>
      </c>
      <c r="P23" s="924" t="s">
        <v>2351</v>
      </c>
    </row>
    <row r="24" spans="2:16">
      <c r="B24" s="920" t="s">
        <v>2352</v>
      </c>
      <c r="C24" s="898">
        <v>5</v>
      </c>
      <c r="D24" s="894">
        <f>SUM(Summary!C25+Summary!D25)</f>
        <v>5</v>
      </c>
      <c r="E24" s="895">
        <f t="shared" si="5"/>
        <v>0</v>
      </c>
      <c r="F24" s="925">
        <f t="shared" si="6"/>
        <v>1</v>
      </c>
      <c r="G24" s="902"/>
      <c r="H24" s="922"/>
      <c r="I24" s="922"/>
      <c r="J24" s="922"/>
      <c r="K24" s="922"/>
      <c r="L24" s="922"/>
      <c r="M24" s="922"/>
      <c r="N24" s="923"/>
      <c r="O24" s="926">
        <f t="shared" si="7"/>
        <v>0</v>
      </c>
      <c r="P24" s="924" t="s">
        <v>2334</v>
      </c>
    </row>
    <row r="25" spans="2:16">
      <c r="B25" s="920" t="s">
        <v>2353</v>
      </c>
      <c r="C25" s="898">
        <v>2</v>
      </c>
      <c r="D25" s="894">
        <f>SUM(Summary!C26+Summary!D26)</f>
        <v>2</v>
      </c>
      <c r="E25" s="895">
        <f t="shared" si="5"/>
        <v>0</v>
      </c>
      <c r="F25" s="925">
        <f t="shared" si="6"/>
        <v>1</v>
      </c>
      <c r="G25" s="902"/>
      <c r="H25" s="922">
        <v>1</v>
      </c>
      <c r="I25" s="922"/>
      <c r="J25" s="922"/>
      <c r="K25" s="922"/>
      <c r="L25" s="922"/>
      <c r="M25" s="922"/>
      <c r="N25" s="923"/>
      <c r="O25" s="926">
        <f t="shared" si="7"/>
        <v>1</v>
      </c>
      <c r="P25" s="924" t="s">
        <v>2334</v>
      </c>
    </row>
    <row r="26" spans="2:16">
      <c r="B26" s="920" t="s">
        <v>2354</v>
      </c>
      <c r="C26" s="898">
        <v>6</v>
      </c>
      <c r="D26" s="894">
        <f>SUM(Summary!C27+Summary!D27)</f>
        <v>5</v>
      </c>
      <c r="E26" s="895">
        <f t="shared" si="5"/>
        <v>1</v>
      </c>
      <c r="F26" s="925">
        <f t="shared" si="6"/>
        <v>0.83333333333333337</v>
      </c>
      <c r="G26" s="902"/>
      <c r="H26" s="922"/>
      <c r="I26" s="922"/>
      <c r="J26" s="922"/>
      <c r="K26" s="922"/>
      <c r="L26" s="922">
        <v>2</v>
      </c>
      <c r="M26" s="922"/>
      <c r="N26" s="923"/>
      <c r="O26" s="926">
        <f t="shared" si="7"/>
        <v>2</v>
      </c>
      <c r="P26" s="924" t="s">
        <v>2346</v>
      </c>
    </row>
    <row r="27" spans="2:16">
      <c r="B27" s="920" t="s">
        <v>2356</v>
      </c>
      <c r="C27" s="898">
        <v>12</v>
      </c>
      <c r="D27" s="894">
        <f>SUM(Summary!C28+Summary!D28)</f>
        <v>12</v>
      </c>
      <c r="E27" s="895">
        <f t="shared" si="5"/>
        <v>0</v>
      </c>
      <c r="F27" s="925">
        <f t="shared" si="6"/>
        <v>1</v>
      </c>
      <c r="G27" s="902"/>
      <c r="H27" s="922">
        <v>4</v>
      </c>
      <c r="I27" s="922"/>
      <c r="J27" s="922"/>
      <c r="K27" s="922">
        <v>8</v>
      </c>
      <c r="L27" s="922"/>
      <c r="M27" s="922"/>
      <c r="N27" s="923"/>
      <c r="O27" s="926">
        <f t="shared" si="7"/>
        <v>12</v>
      </c>
      <c r="P27" s="924" t="s">
        <v>2349</v>
      </c>
    </row>
    <row r="28" spans="2:16">
      <c r="B28" s="920" t="s">
        <v>2357</v>
      </c>
      <c r="C28" s="898">
        <v>6</v>
      </c>
      <c r="D28" s="894">
        <f>SUM(Summary!C29+Summary!D29)</f>
        <v>6</v>
      </c>
      <c r="E28" s="895">
        <f t="shared" si="5"/>
        <v>0</v>
      </c>
      <c r="F28" s="925">
        <f t="shared" si="6"/>
        <v>1</v>
      </c>
      <c r="G28" s="902"/>
      <c r="H28" s="922"/>
      <c r="I28" s="922"/>
      <c r="J28" s="922"/>
      <c r="K28" s="922">
        <v>3</v>
      </c>
      <c r="L28" s="922"/>
      <c r="M28" s="922"/>
      <c r="N28" s="923"/>
      <c r="O28" s="926">
        <f t="shared" si="7"/>
        <v>3</v>
      </c>
      <c r="P28" s="924" t="s">
        <v>2346</v>
      </c>
    </row>
    <row r="29" spans="2:16">
      <c r="B29" s="920" t="s">
        <v>2358</v>
      </c>
      <c r="C29" s="898">
        <v>10</v>
      </c>
      <c r="D29" s="894">
        <f>SUM(Summary!C30+Summary!D30)</f>
        <v>10</v>
      </c>
      <c r="E29" s="895">
        <f t="shared" si="5"/>
        <v>0</v>
      </c>
      <c r="F29" s="925">
        <f t="shared" si="6"/>
        <v>1</v>
      </c>
      <c r="G29" s="902"/>
      <c r="H29" s="922"/>
      <c r="I29" s="922"/>
      <c r="J29" s="922"/>
      <c r="K29" s="922">
        <v>10</v>
      </c>
      <c r="L29" s="922"/>
      <c r="M29" s="922"/>
      <c r="N29" s="923"/>
      <c r="O29" s="926">
        <f t="shared" si="7"/>
        <v>10</v>
      </c>
      <c r="P29" s="924" t="s">
        <v>2334</v>
      </c>
    </row>
    <row r="30" spans="2:16">
      <c r="B30" s="920" t="s">
        <v>2360</v>
      </c>
      <c r="C30" s="898">
        <v>13</v>
      </c>
      <c r="D30" s="894">
        <f>SUM(Summary!C31+Summary!D31)</f>
        <v>13</v>
      </c>
      <c r="E30" s="895">
        <f t="shared" si="5"/>
        <v>0</v>
      </c>
      <c r="F30" s="925">
        <f t="shared" si="6"/>
        <v>1</v>
      </c>
      <c r="G30" s="902"/>
      <c r="H30" s="922"/>
      <c r="I30" s="922"/>
      <c r="J30" s="927"/>
      <c r="K30" s="922"/>
      <c r="L30" s="922"/>
      <c r="M30" s="922">
        <v>9</v>
      </c>
      <c r="N30" s="923"/>
      <c r="O30" s="926">
        <f t="shared" si="7"/>
        <v>9</v>
      </c>
      <c r="P30" s="924" t="s">
        <v>2346</v>
      </c>
    </row>
    <row r="31" spans="2:16">
      <c r="B31" s="920" t="s">
        <v>2361</v>
      </c>
      <c r="C31" s="898">
        <v>7</v>
      </c>
      <c r="D31" s="894">
        <f>SUM(Summary!C32+Summary!D32)</f>
        <v>7</v>
      </c>
      <c r="E31" s="895">
        <f t="shared" si="5"/>
        <v>0</v>
      </c>
      <c r="F31" s="925">
        <f t="shared" si="6"/>
        <v>1</v>
      </c>
      <c r="G31" s="902"/>
      <c r="H31" s="922"/>
      <c r="I31" s="922"/>
      <c r="J31" s="922"/>
      <c r="K31" s="922"/>
      <c r="L31" s="922"/>
      <c r="M31" s="922"/>
      <c r="N31" s="923">
        <v>1</v>
      </c>
      <c r="O31" s="926">
        <f t="shared" si="7"/>
        <v>1</v>
      </c>
      <c r="P31" s="924" t="s">
        <v>2349</v>
      </c>
    </row>
    <row r="32" spans="2:16">
      <c r="B32" s="920" t="s">
        <v>2362</v>
      </c>
      <c r="C32" s="898">
        <v>10</v>
      </c>
      <c r="D32" s="894">
        <f>SUM(Summary!C33+Summary!D33)</f>
        <v>10</v>
      </c>
      <c r="E32" s="895">
        <f t="shared" si="5"/>
        <v>0</v>
      </c>
      <c r="F32" s="925">
        <f t="shared" si="6"/>
        <v>1</v>
      </c>
      <c r="G32" s="902"/>
      <c r="H32" s="922"/>
      <c r="I32" s="922"/>
      <c r="J32" s="922"/>
      <c r="K32" s="922">
        <v>4</v>
      </c>
      <c r="L32" s="922"/>
      <c r="M32" s="922"/>
      <c r="N32" s="923"/>
      <c r="O32" s="926">
        <f t="shared" si="7"/>
        <v>4</v>
      </c>
      <c r="P32" s="924" t="s">
        <v>2334</v>
      </c>
    </row>
    <row r="33" spans="1:16">
      <c r="B33" s="920" t="s">
        <v>2364</v>
      </c>
      <c r="C33" s="898">
        <v>1</v>
      </c>
      <c r="D33" s="894">
        <f>SUM(Summary!C34+Summary!D34)</f>
        <v>1</v>
      </c>
      <c r="E33" s="895">
        <f t="shared" si="5"/>
        <v>0</v>
      </c>
      <c r="F33" s="925">
        <f t="shared" si="6"/>
        <v>1</v>
      </c>
      <c r="G33" s="902"/>
      <c r="H33" s="922"/>
      <c r="I33" s="922"/>
      <c r="J33" s="922"/>
      <c r="K33" s="922"/>
      <c r="L33" s="922"/>
      <c r="M33" s="922">
        <v>1</v>
      </c>
      <c r="N33" s="923"/>
      <c r="O33" s="926">
        <f t="shared" si="7"/>
        <v>1</v>
      </c>
      <c r="P33" s="924" t="s">
        <v>2334</v>
      </c>
    </row>
    <row r="34" spans="1:16">
      <c r="A34" s="928"/>
      <c r="B34" s="920" t="s">
        <v>2365</v>
      </c>
      <c r="C34" s="898">
        <v>1</v>
      </c>
      <c r="D34" s="894">
        <f>SUM(Summary!C35+Summary!D35)</f>
        <v>1</v>
      </c>
      <c r="E34" s="895">
        <f t="shared" si="5"/>
        <v>0</v>
      </c>
      <c r="F34" s="925">
        <f t="shared" si="6"/>
        <v>1</v>
      </c>
      <c r="G34" s="902"/>
      <c r="H34" s="922"/>
      <c r="I34" s="922"/>
      <c r="J34" s="922"/>
      <c r="K34" s="922"/>
      <c r="L34" s="922"/>
      <c r="M34" s="922"/>
      <c r="N34" s="923">
        <v>1</v>
      </c>
      <c r="O34" s="926">
        <f t="shared" si="7"/>
        <v>1</v>
      </c>
      <c r="P34" s="924" t="s">
        <v>2351</v>
      </c>
    </row>
    <row r="35" spans="1:16">
      <c r="A35" s="928"/>
      <c r="B35" s="929" t="s">
        <v>2366</v>
      </c>
      <c r="C35" s="898">
        <v>3</v>
      </c>
      <c r="D35" s="894">
        <f>SUM(Summary!C36+Summary!D36)</f>
        <v>3</v>
      </c>
      <c r="E35" s="895">
        <f t="shared" si="5"/>
        <v>0</v>
      </c>
      <c r="F35" s="925">
        <f t="shared" si="6"/>
        <v>1</v>
      </c>
      <c r="G35" s="902"/>
      <c r="H35" s="922"/>
      <c r="I35" s="922"/>
      <c r="J35" s="922"/>
      <c r="K35" s="922"/>
      <c r="L35" s="922"/>
      <c r="M35" s="922"/>
      <c r="N35" s="923">
        <v>3</v>
      </c>
      <c r="O35" s="926">
        <f t="shared" si="7"/>
        <v>3</v>
      </c>
      <c r="P35" s="924" t="s">
        <v>2351</v>
      </c>
    </row>
    <row r="36" spans="1:16">
      <c r="A36" s="928"/>
      <c r="B36" s="929" t="s">
        <v>2367</v>
      </c>
      <c r="C36" s="898">
        <v>3</v>
      </c>
      <c r="D36" s="894">
        <f>SUM(Summary!C37+Summary!D37)</f>
        <v>3</v>
      </c>
      <c r="E36" s="895">
        <f t="shared" si="5"/>
        <v>0</v>
      </c>
      <c r="F36" s="925">
        <f t="shared" si="6"/>
        <v>1</v>
      </c>
      <c r="G36" s="902"/>
      <c r="H36" s="922"/>
      <c r="I36" s="922"/>
      <c r="J36" s="922"/>
      <c r="K36" s="922"/>
      <c r="L36" s="922"/>
      <c r="M36" s="922"/>
      <c r="N36" s="923"/>
      <c r="O36" s="926">
        <f t="shared" si="7"/>
        <v>0</v>
      </c>
      <c r="P36" s="924" t="s">
        <v>2334</v>
      </c>
    </row>
    <row r="37" spans="1:16">
      <c r="A37" s="930"/>
      <c r="B37" s="929" t="s">
        <v>2368</v>
      </c>
      <c r="C37" s="898">
        <v>51</v>
      </c>
      <c r="D37" s="894">
        <f>SUM(Summary!C38+Summary!D38)</f>
        <v>51</v>
      </c>
      <c r="E37" s="895">
        <f t="shared" si="5"/>
        <v>0</v>
      </c>
      <c r="F37" s="925">
        <f t="shared" si="6"/>
        <v>1</v>
      </c>
      <c r="G37" s="902">
        <v>4</v>
      </c>
      <c r="H37" s="922"/>
      <c r="I37" s="922"/>
      <c r="J37" s="922"/>
      <c r="K37" s="922">
        <v>46</v>
      </c>
      <c r="L37" s="922"/>
      <c r="M37" s="922"/>
      <c r="N37" s="923"/>
      <c r="O37" s="926">
        <f t="shared" si="7"/>
        <v>50</v>
      </c>
      <c r="P37" s="924" t="s">
        <v>2334</v>
      </c>
    </row>
    <row r="38" spans="1:16">
      <c r="A38" s="931"/>
      <c r="B38" s="920" t="s">
        <v>2369</v>
      </c>
      <c r="C38" s="898">
        <v>23</v>
      </c>
      <c r="D38" s="894">
        <f>SUM(Summary!C39+Summary!D39)</f>
        <v>23</v>
      </c>
      <c r="E38" s="895">
        <f t="shared" si="5"/>
        <v>0</v>
      </c>
      <c r="F38" s="925">
        <f t="shared" si="6"/>
        <v>1</v>
      </c>
      <c r="G38" s="902"/>
      <c r="H38" s="922">
        <v>3</v>
      </c>
      <c r="I38" s="922"/>
      <c r="J38" s="922"/>
      <c r="K38" s="922">
        <v>7</v>
      </c>
      <c r="L38" s="922"/>
      <c r="M38" s="922"/>
      <c r="N38" s="923">
        <v>2</v>
      </c>
      <c r="O38" s="926">
        <f t="shared" si="7"/>
        <v>12</v>
      </c>
      <c r="P38" s="924" t="s">
        <v>2351</v>
      </c>
    </row>
    <row r="39" spans="1:16">
      <c r="A39" s="928"/>
      <c r="B39" s="920" t="s">
        <v>2370</v>
      </c>
      <c r="C39" s="898">
        <v>12</v>
      </c>
      <c r="D39" s="894">
        <f>SUM(Summary!C40+Summary!D40)</f>
        <v>12</v>
      </c>
      <c r="E39" s="895">
        <f t="shared" si="5"/>
        <v>0</v>
      </c>
      <c r="F39" s="925">
        <f t="shared" si="6"/>
        <v>1</v>
      </c>
      <c r="G39" s="902"/>
      <c r="H39" s="922">
        <v>3</v>
      </c>
      <c r="I39" s="922"/>
      <c r="J39" s="922"/>
      <c r="K39" s="922">
        <v>5</v>
      </c>
      <c r="L39" s="922"/>
      <c r="M39" s="922"/>
      <c r="N39" s="923">
        <v>2</v>
      </c>
      <c r="O39" s="926">
        <f t="shared" si="7"/>
        <v>10</v>
      </c>
      <c r="P39" s="924" t="s">
        <v>2351</v>
      </c>
    </row>
    <row r="40" spans="1:16">
      <c r="B40" s="920" t="s">
        <v>2371</v>
      </c>
      <c r="C40" s="898">
        <v>2</v>
      </c>
      <c r="D40" s="894">
        <f>SUM(Summary!C41+Summary!D41)</f>
        <v>2</v>
      </c>
      <c r="E40" s="895">
        <f t="shared" si="5"/>
        <v>0</v>
      </c>
      <c r="F40" s="925">
        <f t="shared" si="6"/>
        <v>1</v>
      </c>
      <c r="G40" s="902"/>
      <c r="H40" s="922"/>
      <c r="I40" s="922"/>
      <c r="J40" s="922"/>
      <c r="K40" s="922">
        <v>2</v>
      </c>
      <c r="L40" s="922"/>
      <c r="M40" s="922"/>
      <c r="N40" s="923"/>
      <c r="O40" s="926">
        <f t="shared" si="7"/>
        <v>2</v>
      </c>
      <c r="P40" s="924" t="s">
        <v>2351</v>
      </c>
    </row>
    <row r="41" spans="1:16">
      <c r="B41" s="920" t="s">
        <v>2372</v>
      </c>
      <c r="C41" s="898">
        <v>9</v>
      </c>
      <c r="D41" s="894">
        <f>SUM(Summary!C42+Summary!D42)</f>
        <v>9</v>
      </c>
      <c r="E41" s="895">
        <f t="shared" si="5"/>
        <v>0</v>
      </c>
      <c r="F41" s="925">
        <f t="shared" si="6"/>
        <v>1</v>
      </c>
      <c r="G41" s="902"/>
      <c r="H41" s="922">
        <v>2</v>
      </c>
      <c r="I41" s="922"/>
      <c r="J41" s="922"/>
      <c r="K41" s="922">
        <v>1</v>
      </c>
      <c r="L41" s="922"/>
      <c r="M41" s="922">
        <v>4</v>
      </c>
      <c r="N41" s="923">
        <v>1</v>
      </c>
      <c r="O41" s="926">
        <f t="shared" si="7"/>
        <v>8</v>
      </c>
      <c r="P41" s="924" t="s">
        <v>2349</v>
      </c>
    </row>
    <row r="42" spans="1:16">
      <c r="B42" s="920" t="s">
        <v>2373</v>
      </c>
      <c r="C42" s="898">
        <v>13</v>
      </c>
      <c r="D42" s="894">
        <f>SUM(Summary!C43+Summary!D43)</f>
        <v>17</v>
      </c>
      <c r="E42" s="895">
        <f t="shared" si="5"/>
        <v>-4</v>
      </c>
      <c r="F42" s="925">
        <f t="shared" si="6"/>
        <v>1.3076923076923077</v>
      </c>
      <c r="G42" s="902"/>
      <c r="H42" s="922"/>
      <c r="I42" s="922"/>
      <c r="J42" s="922"/>
      <c r="K42" s="922"/>
      <c r="L42" s="922"/>
      <c r="M42" s="922">
        <v>13</v>
      </c>
      <c r="N42" s="923"/>
      <c r="O42" s="926">
        <f t="shared" si="7"/>
        <v>13</v>
      </c>
      <c r="P42" s="924" t="s">
        <v>2349</v>
      </c>
    </row>
    <row r="43" spans="1:16">
      <c r="B43" s="920" t="s">
        <v>2374</v>
      </c>
      <c r="C43" s="898">
        <v>11</v>
      </c>
      <c r="D43" s="894">
        <f>SUM(Summary!C44+Summary!D44)</f>
        <v>11</v>
      </c>
      <c r="E43" s="895">
        <f t="shared" si="5"/>
        <v>0</v>
      </c>
      <c r="F43" s="925">
        <f t="shared" si="6"/>
        <v>1</v>
      </c>
      <c r="G43" s="902"/>
      <c r="H43" s="922"/>
      <c r="I43" s="922"/>
      <c r="J43" s="922"/>
      <c r="K43" s="922"/>
      <c r="L43" s="922"/>
      <c r="M43" s="922">
        <v>11</v>
      </c>
      <c r="N43" s="923"/>
      <c r="O43" s="926">
        <f t="shared" si="7"/>
        <v>11</v>
      </c>
      <c r="P43" s="924" t="s">
        <v>2349</v>
      </c>
    </row>
    <row r="44" spans="1:16">
      <c r="B44" s="932" t="s">
        <v>2340</v>
      </c>
      <c r="C44" s="933">
        <f>SUM(C21:C43)</f>
        <v>235</v>
      </c>
      <c r="D44" s="934">
        <f>SUM(D21:D43)</f>
        <v>237</v>
      </c>
      <c r="E44" s="913">
        <f>SUM(E21:E43)</f>
        <v>-2</v>
      </c>
      <c r="F44" s="935">
        <f t="shared" si="6"/>
        <v>1.0085106382978724</v>
      </c>
      <c r="G44" s="936">
        <f t="shared" ref="G44:O44" si="8">SUM(G21:G43)</f>
        <v>4</v>
      </c>
      <c r="H44" s="937">
        <f t="shared" si="8"/>
        <v>14</v>
      </c>
      <c r="I44" s="937">
        <f t="shared" si="8"/>
        <v>0</v>
      </c>
      <c r="J44" s="937">
        <f t="shared" si="8"/>
        <v>0</v>
      </c>
      <c r="K44" s="937">
        <f t="shared" si="8"/>
        <v>86</v>
      </c>
      <c r="L44" s="937">
        <f t="shared" si="8"/>
        <v>3</v>
      </c>
      <c r="M44" s="937">
        <f t="shared" si="8"/>
        <v>38</v>
      </c>
      <c r="N44" s="937">
        <f t="shared" si="8"/>
        <v>13</v>
      </c>
      <c r="O44" s="938">
        <f t="shared" si="8"/>
        <v>158</v>
      </c>
      <c r="P44" s="939"/>
    </row>
    <row r="45" spans="1:16">
      <c r="B45" s="886"/>
      <c r="C45" s="886"/>
      <c r="D45" s="886"/>
      <c r="F45" s="915"/>
      <c r="G45" s="940"/>
      <c r="H45" s="886"/>
      <c r="I45" s="886"/>
      <c r="J45" s="886"/>
      <c r="K45" s="886"/>
      <c r="L45" s="886"/>
      <c r="M45" s="886"/>
    </row>
    <row r="46" spans="1:16">
      <c r="B46" s="941" t="s">
        <v>3164</v>
      </c>
      <c r="C46" s="968" t="s">
        <v>3165</v>
      </c>
      <c r="D46" s="953"/>
      <c r="E46" s="953"/>
      <c r="F46" s="953"/>
      <c r="G46" s="776"/>
      <c r="H46" s="886"/>
      <c r="I46" s="886"/>
      <c r="J46" s="886"/>
      <c r="K46" s="886"/>
      <c r="L46" s="886"/>
      <c r="M46" s="886"/>
    </row>
    <row r="47" spans="1:16">
      <c r="B47" s="774" t="s">
        <v>1342</v>
      </c>
      <c r="C47" s="961" t="s">
        <v>3166</v>
      </c>
      <c r="D47" s="953"/>
      <c r="E47" s="953"/>
      <c r="F47" s="953"/>
      <c r="G47" s="776"/>
      <c r="H47" s="886"/>
      <c r="I47" s="886"/>
      <c r="J47" s="886"/>
      <c r="K47" s="886"/>
      <c r="L47" s="886"/>
      <c r="M47" s="886"/>
    </row>
    <row r="48" spans="1:16">
      <c r="B48" s="774" t="s">
        <v>3159</v>
      </c>
      <c r="C48" s="961" t="s">
        <v>3167</v>
      </c>
      <c r="D48" s="953"/>
      <c r="E48" s="953"/>
      <c r="F48" s="953"/>
      <c r="G48" s="776"/>
      <c r="H48" s="886"/>
      <c r="I48" s="886"/>
      <c r="J48" s="886"/>
      <c r="K48" s="886"/>
      <c r="L48" s="886"/>
      <c r="M48" s="886"/>
    </row>
    <row r="49" spans="2:13">
      <c r="B49" s="774" t="s">
        <v>626</v>
      </c>
      <c r="C49" s="961" t="s">
        <v>3168</v>
      </c>
      <c r="D49" s="953"/>
      <c r="E49" s="953"/>
      <c r="F49" s="953"/>
      <c r="G49" s="776"/>
      <c r="H49" s="886"/>
      <c r="I49" s="886"/>
      <c r="J49" s="942"/>
      <c r="K49" s="886"/>
      <c r="L49" s="886"/>
      <c r="M49" s="886"/>
    </row>
    <row r="50" spans="2:13">
      <c r="B50" s="774" t="s">
        <v>621</v>
      </c>
      <c r="C50" s="961" t="s">
        <v>3169</v>
      </c>
      <c r="D50" s="953"/>
      <c r="E50" s="953"/>
      <c r="F50" s="953"/>
      <c r="G50" s="776"/>
      <c r="H50" s="886"/>
      <c r="I50" s="886"/>
      <c r="J50" s="886"/>
      <c r="K50" s="886"/>
      <c r="L50" s="886"/>
      <c r="M50" s="886"/>
    </row>
    <row r="51" spans="2:13">
      <c r="B51" s="774" t="s">
        <v>3160</v>
      </c>
      <c r="C51" s="961" t="s">
        <v>3170</v>
      </c>
      <c r="D51" s="953"/>
      <c r="E51" s="953"/>
      <c r="F51" s="953"/>
      <c r="G51" s="776"/>
      <c r="H51" s="886"/>
      <c r="I51" s="886"/>
      <c r="J51" s="886"/>
      <c r="K51" s="886"/>
      <c r="L51" s="886"/>
      <c r="M51" s="886"/>
    </row>
    <row r="52" spans="2:13">
      <c r="B52" s="791" t="s">
        <v>3161</v>
      </c>
      <c r="C52" s="950" t="s">
        <v>3171</v>
      </c>
      <c r="D52" s="951"/>
      <c r="E52" s="951"/>
      <c r="F52" s="951"/>
      <c r="G52" s="213"/>
      <c r="H52" s="886"/>
      <c r="I52" s="886"/>
      <c r="J52" s="886"/>
      <c r="K52" s="886"/>
      <c r="L52" s="886"/>
      <c r="M52" s="886"/>
    </row>
  </sheetData>
  <mergeCells count="22">
    <mergeCell ref="B1:D1"/>
    <mergeCell ref="B2:B3"/>
    <mergeCell ref="C2:C3"/>
    <mergeCell ref="D2:D3"/>
    <mergeCell ref="F2:F3"/>
    <mergeCell ref="B19:B20"/>
    <mergeCell ref="C19:C20"/>
    <mergeCell ref="D19:D20"/>
    <mergeCell ref="F19:F20"/>
    <mergeCell ref="C46:F46"/>
    <mergeCell ref="C52:F52"/>
    <mergeCell ref="E2:E3"/>
    <mergeCell ref="E19:E20"/>
    <mergeCell ref="P2:P3"/>
    <mergeCell ref="P19:P20"/>
    <mergeCell ref="G2:O2"/>
    <mergeCell ref="G19:O19"/>
    <mergeCell ref="C47:F47"/>
    <mergeCell ref="C48:F48"/>
    <mergeCell ref="C49:F49"/>
    <mergeCell ref="C50:F50"/>
    <mergeCell ref="C51:F51"/>
  </mergeCells>
  <phoneticPr fontId="106" type="noConversion"/>
  <dataValidations count="1">
    <dataValidation type="decimal" allowBlank="1" showInputMessage="1" showErrorMessage="1" sqref="G7:G23" xr:uid="{00000000-0002-0000-0100-000000000000}">
      <formula1>0</formula1>
      <formula2>100</formula2>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codeName="自动Summary">
    <tabColor rgb="FFFFFFFF"/>
  </sheetPr>
  <dimension ref="A1:T98"/>
  <sheetViews>
    <sheetView showGridLines="0" workbookViewId="0"/>
  </sheetViews>
  <sheetFormatPr defaultRowHeight="13"/>
  <cols>
    <col min="1" max="1" width="1.08984375" customWidth="1"/>
    <col min="2" max="2" width="16.6328125" customWidth="1"/>
    <col min="9" max="9" width="4" customWidth="1"/>
    <col min="10" max="10" width="85.54296875" customWidth="1"/>
    <col min="11" max="11" width="5.36328125" customWidth="1"/>
    <col min="13" max="13" width="5.90625" customWidth="1"/>
  </cols>
  <sheetData>
    <row r="1" spans="1:20" ht="4.5" customHeight="1">
      <c r="B1" s="723"/>
      <c r="C1" s="723"/>
      <c r="D1" s="723"/>
      <c r="E1" s="723"/>
      <c r="F1" s="723"/>
      <c r="H1" s="723"/>
    </row>
    <row r="2" spans="1:20">
      <c r="A2" s="723"/>
      <c r="B2" s="1052" t="s">
        <v>2327</v>
      </c>
      <c r="C2" s="957"/>
      <c r="D2" s="957"/>
      <c r="E2" s="957"/>
      <c r="F2" s="957"/>
      <c r="G2" s="1053"/>
      <c r="H2" s="976"/>
      <c r="M2" s="724"/>
      <c r="N2" s="724"/>
      <c r="O2" s="725"/>
      <c r="P2" s="724"/>
      <c r="Q2" s="724"/>
      <c r="R2" s="724"/>
      <c r="S2" s="724"/>
      <c r="T2" s="724"/>
    </row>
    <row r="3" spans="1:20">
      <c r="B3" s="726"/>
      <c r="C3" s="727" t="s">
        <v>23</v>
      </c>
      <c r="D3" s="728" t="s">
        <v>64</v>
      </c>
      <c r="E3" s="729" t="s">
        <v>416</v>
      </c>
      <c r="F3" s="168" t="s">
        <v>2328</v>
      </c>
      <c r="G3" s="36" t="s">
        <v>2329</v>
      </c>
      <c r="H3" s="730" t="s">
        <v>2330</v>
      </c>
      <c r="I3" s="586"/>
      <c r="M3" s="724"/>
      <c r="N3" s="724"/>
      <c r="O3" s="725"/>
      <c r="P3" s="725"/>
      <c r="Q3" s="724"/>
      <c r="R3" s="724"/>
      <c r="S3" s="724"/>
      <c r="T3" s="724"/>
    </row>
    <row r="4" spans="1:20">
      <c r="B4" s="726" t="s">
        <v>2331</v>
      </c>
      <c r="C4" s="727">
        <v>1</v>
      </c>
      <c r="D4" s="728">
        <v>0</v>
      </c>
      <c r="E4" s="729">
        <v>0</v>
      </c>
      <c r="F4" s="168" t="e">
        <f>COUNTIF(#REF!,"PCI*")</f>
        <v>#REF!</v>
      </c>
      <c r="G4" s="731" t="e">
        <f t="shared" ref="G4:G17" si="0">SUM(C4:D4)/F4</f>
        <v>#REF!</v>
      </c>
      <c r="H4" s="730" t="s">
        <v>2332</v>
      </c>
      <c r="I4" s="586"/>
      <c r="M4" s="724"/>
      <c r="N4" s="724"/>
      <c r="O4" s="732"/>
      <c r="P4" s="732"/>
      <c r="Q4" s="724"/>
      <c r="R4" s="724"/>
      <c r="S4" s="724"/>
      <c r="T4" s="724"/>
    </row>
    <row r="5" spans="1:20">
      <c r="B5" s="726" t="s">
        <v>2333</v>
      </c>
      <c r="C5" s="727">
        <f>COUNTIF(fanout!J:J,"基础* PASS")</f>
        <v>0</v>
      </c>
      <c r="D5" s="728">
        <f>COUNTIF(fanout!J:J,"基础* FAIL")</f>
        <v>0</v>
      </c>
      <c r="E5" s="729">
        <v>14</v>
      </c>
      <c r="F5" s="168">
        <f>COUNTIF(fanout!C:C,"基础*")</f>
        <v>0</v>
      </c>
      <c r="G5" s="731" t="e">
        <f t="shared" si="0"/>
        <v>#DIV/0!</v>
      </c>
      <c r="H5" s="730" t="s">
        <v>2334</v>
      </c>
      <c r="I5" s="586"/>
      <c r="M5" s="724"/>
      <c r="N5" s="724"/>
      <c r="O5" s="732"/>
      <c r="P5" s="732"/>
      <c r="Q5" s="724"/>
      <c r="R5" s="724"/>
      <c r="S5" s="724"/>
      <c r="T5" s="724"/>
    </row>
    <row r="6" spans="1:20">
      <c r="B6" s="726" t="s">
        <v>1343</v>
      </c>
      <c r="C6" s="727">
        <f>COUNTIF(AI场景!J:J,"基础* PASS")</f>
        <v>0</v>
      </c>
      <c r="D6" s="728">
        <f>COUNTIF(AI场景!J:J,"基础* FAIL")</f>
        <v>0</v>
      </c>
      <c r="E6" s="729">
        <f>COUNTIF(AI场景!J:J,"基础*NT")</f>
        <v>0</v>
      </c>
      <c r="F6" s="168">
        <f>COUNTIF(AI场景!A:A,"Base_*")</f>
        <v>0</v>
      </c>
      <c r="G6" s="731" t="e">
        <f t="shared" si="0"/>
        <v>#DIV/0!</v>
      </c>
      <c r="H6" s="730" t="s">
        <v>2334</v>
      </c>
      <c r="I6" s="586"/>
      <c r="M6" s="724"/>
      <c r="N6" s="724"/>
      <c r="O6" s="732"/>
      <c r="P6" s="732"/>
      <c r="Q6" s="724"/>
      <c r="R6" s="724"/>
      <c r="S6" s="724"/>
      <c r="T6" s="724"/>
    </row>
    <row r="7" spans="1:20">
      <c r="B7" s="726" t="s">
        <v>1344</v>
      </c>
      <c r="C7" s="727">
        <f>COUNTIF(存储场景!J:J,"基础* PASS")</f>
        <v>0</v>
      </c>
      <c r="D7" s="728">
        <f>COUNTIF(存储场景!J:J,"基础* FAIL")</f>
        <v>0</v>
      </c>
      <c r="E7" s="729">
        <v>18</v>
      </c>
      <c r="F7" s="168">
        <f>COUNTIF(存储场景!A:A,"*存储_*")</f>
        <v>30</v>
      </c>
      <c r="G7" s="731">
        <f t="shared" si="0"/>
        <v>0</v>
      </c>
      <c r="H7" s="730" t="s">
        <v>2335</v>
      </c>
      <c r="M7" s="724"/>
      <c r="N7" s="724"/>
      <c r="O7" s="732"/>
      <c r="P7" s="732"/>
      <c r="Q7" s="724"/>
      <c r="R7" s="724"/>
      <c r="S7" s="724"/>
      <c r="T7" s="724"/>
    </row>
    <row r="8" spans="1:20">
      <c r="B8" s="726" t="s">
        <v>1345</v>
      </c>
      <c r="C8" s="727">
        <f>COUNTIF(网络场景!J:J,"基础* PASS")</f>
        <v>0</v>
      </c>
      <c r="D8" s="728">
        <f>COUNTIF(网络场景!J:J,"基础* FAIL")</f>
        <v>0</v>
      </c>
      <c r="E8" s="729">
        <f>COUNTIF(网络场景!J:J,"基础*NT")</f>
        <v>0</v>
      </c>
      <c r="F8" s="168">
        <f>COUNTIF(网络场景!A:A,"Base_*")</f>
        <v>0</v>
      </c>
      <c r="G8" s="731" t="e">
        <f t="shared" si="0"/>
        <v>#DIV/0!</v>
      </c>
      <c r="H8" s="730" t="s">
        <v>2336</v>
      </c>
      <c r="M8" s="724"/>
      <c r="N8" s="724"/>
      <c r="O8" s="732"/>
      <c r="P8" s="732"/>
      <c r="Q8" s="724"/>
      <c r="R8" s="724"/>
      <c r="S8" s="724"/>
      <c r="T8" s="724"/>
    </row>
    <row r="9" spans="1:20">
      <c r="B9" s="726" t="s">
        <v>2337</v>
      </c>
      <c r="C9" s="727">
        <f>COUNTIF(压力测试!K:K,"基础* PASS")</f>
        <v>0</v>
      </c>
      <c r="D9" s="728">
        <f>COUNTIF(压力测试!K:K,"基础* FAIL")</f>
        <v>0</v>
      </c>
      <c r="E9" s="729">
        <f>COUNTIF(压力测试!K:K,"基础*NT")</f>
        <v>0</v>
      </c>
      <c r="F9" s="168">
        <f>COUNTIF(压力测试!A:A,"Base*")</f>
        <v>0</v>
      </c>
      <c r="G9" s="731" t="e">
        <f t="shared" si="0"/>
        <v>#DIV/0!</v>
      </c>
      <c r="H9" s="730" t="s">
        <v>2338</v>
      </c>
      <c r="M9" s="724"/>
      <c r="N9" s="724"/>
      <c r="O9" s="732"/>
      <c r="P9" s="732"/>
      <c r="Q9" s="724"/>
      <c r="R9" s="724"/>
      <c r="S9" s="724"/>
      <c r="T9" s="724"/>
    </row>
    <row r="10" spans="1:20">
      <c r="B10" s="726" t="s">
        <v>2339</v>
      </c>
      <c r="C10" s="727" t="e">
        <f>COUNTIF(#REF!,"基础* PASS")</f>
        <v>#REF!</v>
      </c>
      <c r="D10" s="728" t="e">
        <f>COUNTIF(#REF!,"基础* FAIL")</f>
        <v>#REF!</v>
      </c>
      <c r="E10" s="729" t="e">
        <f>COUNTIF(#REF!,"基础*NT")</f>
        <v>#REF!</v>
      </c>
      <c r="F10" s="168" t="e">
        <f>COUNTIF(#REF!,"Base_*")</f>
        <v>#REF!</v>
      </c>
      <c r="G10" s="731" t="e">
        <f t="shared" si="0"/>
        <v>#REF!</v>
      </c>
      <c r="H10" s="730"/>
      <c r="M10" s="724"/>
      <c r="N10" s="724"/>
      <c r="O10" s="732"/>
      <c r="P10" s="732"/>
      <c r="Q10" s="724"/>
      <c r="R10" s="724"/>
      <c r="S10" s="724"/>
      <c r="T10" s="724"/>
    </row>
    <row r="11" spans="1:20">
      <c r="B11" s="726" t="s">
        <v>1347</v>
      </c>
      <c r="C11" s="727">
        <f>COUNTIF(协议类测试!J:J,"基础* PASS")</f>
        <v>0</v>
      </c>
      <c r="D11" s="728">
        <f>COUNTIF(协议类测试!J:J,"基础* FAIL")</f>
        <v>0</v>
      </c>
      <c r="E11" s="729">
        <f>COUNTIF(协议类测试!J:J,"基础*NT")</f>
        <v>0</v>
      </c>
      <c r="F11" s="168">
        <f>COUNTIF(协议类测试!A:A,"PCI*")</f>
        <v>237</v>
      </c>
      <c r="G11" s="731">
        <f t="shared" si="0"/>
        <v>0</v>
      </c>
      <c r="H11" s="730" t="s">
        <v>2338</v>
      </c>
      <c r="M11" s="724"/>
      <c r="N11" s="724"/>
      <c r="O11" s="732"/>
      <c r="P11" s="732"/>
      <c r="Q11" s="724"/>
      <c r="R11" s="724"/>
      <c r="S11" s="724"/>
      <c r="T11" s="724"/>
    </row>
    <row r="12" spans="1:20">
      <c r="B12" s="726" t="s">
        <v>1348</v>
      </c>
      <c r="C12" s="727" t="e">
        <f>COUNTIF(#REF!,"基础* PASS")</f>
        <v>#REF!</v>
      </c>
      <c r="D12" s="728" t="e">
        <f>COUNTIF(#REF!,"基础* FAIL")</f>
        <v>#REF!</v>
      </c>
      <c r="E12" s="729" t="e">
        <f>COUNTIF(#REF!,"基础*NT")</f>
        <v>#REF!</v>
      </c>
      <c r="F12" s="168">
        <f>COUNTIF(PCISIG!A:A,"PCI*")</f>
        <v>41</v>
      </c>
      <c r="G12" s="731" t="e">
        <f t="shared" si="0"/>
        <v>#REF!</v>
      </c>
      <c r="H12" s="730"/>
      <c r="M12" s="724"/>
      <c r="N12" s="724"/>
      <c r="O12" s="732"/>
      <c r="P12" s="732"/>
      <c r="Q12" s="724"/>
      <c r="R12" s="724"/>
      <c r="S12" s="724"/>
      <c r="T12" s="724"/>
    </row>
    <row r="13" spans="1:20">
      <c r="B13" s="726" t="s">
        <v>1349</v>
      </c>
      <c r="C13" s="727" t="e">
        <f>COUNTIF(#REF!,"基础* PASS")</f>
        <v>#REF!</v>
      </c>
      <c r="D13" s="728" t="e">
        <f>COUNTIF(#REF!,"基础* FAIL")</f>
        <v>#REF!</v>
      </c>
      <c r="E13" s="729" t="e">
        <f>COUNTIF(#REF!,"基础*NT")</f>
        <v>#REF!</v>
      </c>
      <c r="F13" s="168">
        <f>COUNTIF(PCIECV_USP!A:A,"PCI*")</f>
        <v>88</v>
      </c>
      <c r="G13" s="731" t="e">
        <f t="shared" si="0"/>
        <v>#REF!</v>
      </c>
      <c r="H13" s="730"/>
      <c r="M13" s="724"/>
      <c r="N13" s="724"/>
      <c r="O13" s="732"/>
      <c r="P13" s="732"/>
      <c r="Q13" s="724"/>
      <c r="R13" s="724"/>
      <c r="S13" s="724"/>
      <c r="T13" s="724"/>
    </row>
    <row r="14" spans="1:20">
      <c r="B14" s="726" t="s">
        <v>1350</v>
      </c>
      <c r="C14" s="727" t="e">
        <f>COUNTIF(#REF!,"基础* PASS")</f>
        <v>#REF!</v>
      </c>
      <c r="D14" s="728" t="e">
        <f>COUNTIF(#REF!,"基础* FAIL")</f>
        <v>#REF!</v>
      </c>
      <c r="E14" s="729" t="e">
        <f>COUNTIF(#REF!,"基础*NT")</f>
        <v>#REF!</v>
      </c>
      <c r="F14" s="168">
        <f>COUNTIF(PCIECV_DSP!A:A,"PCI*")</f>
        <v>89</v>
      </c>
      <c r="G14" s="731" t="e">
        <f t="shared" si="0"/>
        <v>#REF!</v>
      </c>
      <c r="H14" s="730"/>
      <c r="M14" s="724"/>
      <c r="N14" s="724"/>
      <c r="O14" s="732"/>
      <c r="P14" s="732"/>
      <c r="Q14" s="724"/>
      <c r="R14" s="724"/>
      <c r="S14" s="724"/>
      <c r="T14" s="724"/>
    </row>
    <row r="15" spans="1:20">
      <c r="B15" s="726" t="s">
        <v>1351</v>
      </c>
      <c r="C15" s="727">
        <f>COUNTIF(PBL!J:J,"基础* PASS")</f>
        <v>0</v>
      </c>
      <c r="D15" s="728">
        <f>COUNTIF(PBL!J:J,"基础* FAIL")</f>
        <v>0</v>
      </c>
      <c r="E15" s="729">
        <f>COUNTIF(PBL!J:J,"基础*NT")</f>
        <v>0</v>
      </c>
      <c r="F15" s="168">
        <f>COUNTIF(PBL!A:A,"SYS*")</f>
        <v>95</v>
      </c>
      <c r="G15" s="731">
        <f t="shared" si="0"/>
        <v>0</v>
      </c>
      <c r="H15" s="730"/>
      <c r="M15" s="724"/>
      <c r="N15" s="724"/>
      <c r="O15" s="732"/>
      <c r="P15" s="732"/>
      <c r="Q15" s="724"/>
      <c r="R15" s="724"/>
      <c r="S15" s="724"/>
      <c r="T15" s="724"/>
    </row>
    <row r="16" spans="1:20">
      <c r="B16" s="726" t="s">
        <v>1352</v>
      </c>
      <c r="C16" s="727">
        <f>COUNTIF(DMA!J:J,"基础* PASS")</f>
        <v>0</v>
      </c>
      <c r="D16" s="728">
        <f>COUNTIF(DMA!J:J,"基础* FAIL")</f>
        <v>0</v>
      </c>
      <c r="E16" s="729">
        <v>7</v>
      </c>
      <c r="F16" s="168">
        <f>COUNTIF(DMA!A:A,"PCI*")</f>
        <v>17</v>
      </c>
      <c r="G16" s="731">
        <f t="shared" si="0"/>
        <v>0</v>
      </c>
      <c r="H16" s="730" t="s">
        <v>2332</v>
      </c>
      <c r="M16" s="724"/>
      <c r="N16" s="724"/>
      <c r="O16" s="732"/>
      <c r="P16" s="732"/>
      <c r="Q16" s="724"/>
      <c r="R16" s="724"/>
      <c r="S16" s="724"/>
      <c r="T16" s="724"/>
    </row>
    <row r="17" spans="1:20">
      <c r="B17" s="726" t="s">
        <v>1353</v>
      </c>
      <c r="C17" s="727">
        <f>COUNTIF(管理工具!J:J,"基础* PASS")</f>
        <v>0</v>
      </c>
      <c r="D17" s="728">
        <f>COUNTIF(管理工具!J:J,"基础* FAIL")</f>
        <v>0</v>
      </c>
      <c r="E17" s="729">
        <f>COUNTIF(管理工具!J:J,"基础*NT")</f>
        <v>0</v>
      </c>
      <c r="F17" s="168">
        <f>COUNTIF(管理工具!A:A,"PCI*")</f>
        <v>165</v>
      </c>
      <c r="G17" s="731">
        <f t="shared" si="0"/>
        <v>0</v>
      </c>
      <c r="H17" s="730"/>
      <c r="M17" s="724"/>
      <c r="N17" s="724"/>
      <c r="O17" s="732"/>
      <c r="P17" s="732"/>
      <c r="Q17" s="724"/>
      <c r="R17" s="724"/>
      <c r="S17" s="724"/>
      <c r="T17" s="724"/>
    </row>
    <row r="18" spans="1:20">
      <c r="B18" s="726" t="s">
        <v>1354</v>
      </c>
      <c r="C18" s="727">
        <f>COUNTIF(兼容性!J:J,"基础* PASS")</f>
        <v>0</v>
      </c>
      <c r="D18" s="728">
        <f>COUNTIF(兼容性!J:J,"基础* FAIL")</f>
        <v>0</v>
      </c>
      <c r="E18" s="729">
        <f>COUNTIF(兼容性!J:J,"基础*NT")</f>
        <v>0</v>
      </c>
      <c r="F18" s="168">
        <f>COUNTIF(兼容性!A:A,"PCI*")</f>
        <v>33</v>
      </c>
      <c r="G18" s="731">
        <f>SUM(C18:E18)/F18</f>
        <v>0</v>
      </c>
      <c r="H18" s="730" t="s">
        <v>2332</v>
      </c>
      <c r="M18" s="724"/>
      <c r="N18" s="724"/>
      <c r="O18" s="732"/>
      <c r="P18" s="732"/>
      <c r="Q18" s="724"/>
      <c r="R18" s="724"/>
      <c r="S18" s="724"/>
      <c r="T18" s="724"/>
    </row>
    <row r="19" spans="1:20">
      <c r="A19" s="723"/>
      <c r="B19" s="733" t="s">
        <v>2340</v>
      </c>
      <c r="C19" s="734" t="e">
        <f>SUM(C5:C17)</f>
        <v>#REF!</v>
      </c>
      <c r="D19" s="734" t="e">
        <f>SUM(D5:D17)</f>
        <v>#REF!</v>
      </c>
      <c r="E19" s="734" t="e">
        <f>SUM(E5:E17)</f>
        <v>#REF!</v>
      </c>
      <c r="F19" s="734" t="e">
        <f>SUM(F5:F18)</f>
        <v>#REF!</v>
      </c>
      <c r="G19" s="735" t="e">
        <f>SUM(C19:D19)/F19</f>
        <v>#REF!</v>
      </c>
      <c r="H19" s="736"/>
      <c r="M19" s="724"/>
      <c r="N19" s="724"/>
      <c r="O19" s="724"/>
      <c r="P19" s="724"/>
      <c r="Q19" s="724"/>
      <c r="R19" s="724"/>
      <c r="S19" s="724"/>
      <c r="T19" s="724"/>
    </row>
    <row r="20" spans="1:20">
      <c r="M20" s="724"/>
      <c r="N20" s="724"/>
      <c r="O20" s="724"/>
      <c r="P20" s="724"/>
      <c r="Q20" s="724"/>
      <c r="R20" s="724"/>
      <c r="S20" s="724"/>
      <c r="T20" s="724"/>
    </row>
    <row r="22" spans="1:20">
      <c r="A22" s="723"/>
      <c r="B22" s="1052" t="s">
        <v>2341</v>
      </c>
      <c r="C22" s="957"/>
      <c r="D22" s="957"/>
      <c r="E22" s="957"/>
      <c r="F22" s="957"/>
      <c r="G22" s="1053"/>
      <c r="H22" s="976"/>
    </row>
    <row r="23" spans="1:20">
      <c r="B23" s="726"/>
      <c r="C23" s="727" t="s">
        <v>23</v>
      </c>
      <c r="D23" s="728" t="s">
        <v>64</v>
      </c>
      <c r="E23" s="729" t="s">
        <v>416</v>
      </c>
      <c r="F23" s="168" t="s">
        <v>2328</v>
      </c>
      <c r="G23" s="36" t="s">
        <v>2329</v>
      </c>
      <c r="H23" s="730" t="s">
        <v>2330</v>
      </c>
    </row>
    <row r="24" spans="1:20">
      <c r="B24" s="726" t="s">
        <v>2342</v>
      </c>
      <c r="C24" s="727">
        <f>COUNTIF(D24,"基础* PASS")</f>
        <v>0</v>
      </c>
      <c r="D24" s="728" t="e">
        <f>COUNTIF(#REF!,"基础* FAIL")</f>
        <v>#REF!</v>
      </c>
      <c r="E24" s="729" t="e">
        <f>COUNTIF(#REF!,"合成*NT")</f>
        <v>#REF!</v>
      </c>
      <c r="F24" s="168" t="e">
        <f>COUNTIF(#REF!,"PCI*")</f>
        <v>#REF!</v>
      </c>
      <c r="G24" s="731" t="e">
        <f t="shared" ref="G24:G40" si="1">SUM(C24:D24)/F24</f>
        <v>#REF!</v>
      </c>
      <c r="H24" s="730"/>
    </row>
    <row r="25" spans="1:20">
      <c r="B25" s="726" t="s">
        <v>1342</v>
      </c>
      <c r="C25" s="727">
        <f>COUNTIF(fanout!J:J,"合成* PASS")</f>
        <v>0</v>
      </c>
      <c r="D25" s="728">
        <f>COUNTIF(fanout!J:J,"合成* FAIL")</f>
        <v>0</v>
      </c>
      <c r="E25" s="729">
        <f>COUNTIF(fanout!J:J,"合成*NT")</f>
        <v>0</v>
      </c>
      <c r="F25" s="168">
        <f>COUNTIF(fanout!C:C,"合成*")</f>
        <v>0</v>
      </c>
      <c r="G25" s="731" t="e">
        <f t="shared" si="1"/>
        <v>#DIV/0!</v>
      </c>
      <c r="H25" s="730" t="s">
        <v>2334</v>
      </c>
    </row>
    <row r="26" spans="1:20">
      <c r="B26" s="726" t="s">
        <v>1343</v>
      </c>
      <c r="C26" s="727">
        <f>COUNTIF(AI场景!J:J,"合成* PASS")</f>
        <v>0</v>
      </c>
      <c r="D26" s="728">
        <f>COUNTIF(AI场景!J:J,"合成* FAIL")</f>
        <v>0</v>
      </c>
      <c r="E26" s="729">
        <f>COUNTIF(AI场景!J:J,"合成*NT")</f>
        <v>0</v>
      </c>
      <c r="F26" s="168">
        <f>COUNTIF(AI场景!A:A,"NonBase_*")</f>
        <v>0</v>
      </c>
      <c r="G26" s="731" t="e">
        <f t="shared" si="1"/>
        <v>#DIV/0!</v>
      </c>
      <c r="H26" s="730" t="s">
        <v>2334</v>
      </c>
    </row>
    <row r="27" spans="1:20">
      <c r="B27" s="726" t="s">
        <v>1344</v>
      </c>
      <c r="C27" s="727">
        <f>COUNTIF(存储场景!J:J,"合成* PASS")</f>
        <v>0</v>
      </c>
      <c r="D27" s="728">
        <f>COUNTIF(存储场景!J:J,"合成* FAIL")</f>
        <v>0</v>
      </c>
      <c r="E27" s="729">
        <f>COUNTIF(存储场景!J:J,"合成*NT")</f>
        <v>0</v>
      </c>
      <c r="F27" s="168">
        <f>COUNTIF(存储场景!A:A,"*存储合成*")</f>
        <v>0</v>
      </c>
      <c r="G27" s="731" t="e">
        <f t="shared" si="1"/>
        <v>#DIV/0!</v>
      </c>
      <c r="H27" s="730"/>
    </row>
    <row r="28" spans="1:20">
      <c r="B28" s="726" t="s">
        <v>1345</v>
      </c>
      <c r="C28" s="727">
        <f>COUNTIF(网络场景!J:J,"合成* PASS")</f>
        <v>0</v>
      </c>
      <c r="D28" s="728">
        <f>COUNTIF(网络场景!J:J,"合成* FAIL")</f>
        <v>0</v>
      </c>
      <c r="E28" s="729">
        <f>COUNTIF(网络场景!J:J,"合成*NT")</f>
        <v>0</v>
      </c>
      <c r="F28" s="168">
        <f>COUNTIF(网络场景!A:A,"NonBase_*")</f>
        <v>0</v>
      </c>
      <c r="G28" s="731" t="e">
        <f t="shared" si="1"/>
        <v>#DIV/0!</v>
      </c>
      <c r="H28" s="730" t="s">
        <v>2336</v>
      </c>
    </row>
    <row r="29" spans="1:20">
      <c r="B29" s="726" t="s">
        <v>2337</v>
      </c>
      <c r="C29" s="727">
        <f>COUNTIF(压力测试!K:K,"合成* PASS")</f>
        <v>0</v>
      </c>
      <c r="D29" s="728">
        <f>COUNTIF(压力测试!K:K,"合成* FAIL")</f>
        <v>0</v>
      </c>
      <c r="E29" s="729">
        <f>COUNTIF(压力测试!K:K,"合成*NT")</f>
        <v>0</v>
      </c>
      <c r="F29" s="168">
        <f>COUNTIF(压力测试!A:A,"NonBase_*")</f>
        <v>0</v>
      </c>
      <c r="G29" s="731" t="e">
        <f t="shared" si="1"/>
        <v>#DIV/0!</v>
      </c>
      <c r="H29" s="730"/>
    </row>
    <row r="30" spans="1:20">
      <c r="B30" s="726" t="s">
        <v>2339</v>
      </c>
      <c r="C30" s="727" t="e">
        <f>COUNTIF(#REF!,"合成* PASS")</f>
        <v>#REF!</v>
      </c>
      <c r="D30" s="728" t="e">
        <f>COUNTIF(#REF!,"合成* FAIL")</f>
        <v>#REF!</v>
      </c>
      <c r="E30" s="729" t="e">
        <f>COUNTIF(#REF!,"合成*NT")</f>
        <v>#REF!</v>
      </c>
      <c r="F30" s="168" t="e">
        <f>COUNTIF(#REF!,"*合成*")</f>
        <v>#REF!</v>
      </c>
      <c r="G30" s="731" t="e">
        <f t="shared" si="1"/>
        <v>#REF!</v>
      </c>
      <c r="H30" s="730"/>
    </row>
    <row r="31" spans="1:20">
      <c r="B31" s="726" t="s">
        <v>1347</v>
      </c>
      <c r="C31" s="727">
        <f>COUNTIF(协议类测试!K:K,"合成* PASS")</f>
        <v>0</v>
      </c>
      <c r="D31" s="728">
        <f>COUNTIF(协议类测试!K:K,"合成* FAIL")</f>
        <v>0</v>
      </c>
      <c r="E31" s="729">
        <f>COUNTIF(协议类测试!K:K,"合成*NT")</f>
        <v>0</v>
      </c>
      <c r="F31" s="168">
        <f>COUNTIF(协议类测试!A:A,"PCI*")</f>
        <v>237</v>
      </c>
      <c r="G31" s="731">
        <f t="shared" si="1"/>
        <v>0</v>
      </c>
      <c r="H31" s="730"/>
    </row>
    <row r="32" spans="1:20">
      <c r="B32" s="726" t="s">
        <v>1348</v>
      </c>
      <c r="C32" s="727" t="e">
        <f>COUNTIF(#REF!,"合成* PASS")</f>
        <v>#REF!</v>
      </c>
      <c r="D32" s="728" t="e">
        <f>COUNTIF(#REF!,"合成* FAIL")</f>
        <v>#REF!</v>
      </c>
      <c r="E32" s="729" t="e">
        <f>COUNTIF(#REF!,"合成*NT")</f>
        <v>#REF!</v>
      </c>
      <c r="F32" s="168">
        <f>COUNTIF(PCISIG!A:A,"PCI*")</f>
        <v>41</v>
      </c>
      <c r="G32" s="731" t="e">
        <f t="shared" si="1"/>
        <v>#REF!</v>
      </c>
      <c r="H32" s="730"/>
    </row>
    <row r="33" spans="1:13">
      <c r="B33" s="726" t="s">
        <v>1349</v>
      </c>
      <c r="C33" s="727" t="e">
        <f>COUNTIF(#REF!,"合成* PASS")</f>
        <v>#REF!</v>
      </c>
      <c r="D33" s="728" t="e">
        <f>COUNTIF(#REF!,"合成* FAIL")</f>
        <v>#REF!</v>
      </c>
      <c r="E33" s="729" t="e">
        <f>COUNTIF(#REF!,"合成*NT")</f>
        <v>#REF!</v>
      </c>
      <c r="F33" s="168">
        <f>COUNTIF(PCIECV_USP!A:A,"PCI*")</f>
        <v>88</v>
      </c>
      <c r="G33" s="731" t="e">
        <f t="shared" si="1"/>
        <v>#REF!</v>
      </c>
      <c r="H33" s="730"/>
    </row>
    <row r="34" spans="1:13">
      <c r="B34" s="726" t="s">
        <v>1350</v>
      </c>
      <c r="C34" s="727" t="e">
        <f>COUNTIF(#REF!,"合成* PASS")</f>
        <v>#REF!</v>
      </c>
      <c r="D34" s="728" t="e">
        <f>COUNTIF(#REF!,"合成* FAIL")</f>
        <v>#REF!</v>
      </c>
      <c r="E34" s="729" t="e">
        <f>COUNTIF(#REF!,"合成*NT")</f>
        <v>#REF!</v>
      </c>
      <c r="F34" s="168">
        <f>COUNTIF(PCIECV_DSP!A:A,"PCI*")</f>
        <v>89</v>
      </c>
      <c r="G34" s="731" t="e">
        <f t="shared" si="1"/>
        <v>#REF!</v>
      </c>
      <c r="H34" s="730"/>
    </row>
    <row r="35" spans="1:13">
      <c r="B35" s="726" t="s">
        <v>1351</v>
      </c>
      <c r="C35" s="727">
        <f>COUNTIF(PBL!J:J,"合成* PASS")</f>
        <v>0</v>
      </c>
      <c r="D35" s="728">
        <f>COUNTIF(PBL!J:J,"合成* FAIL")</f>
        <v>0</v>
      </c>
      <c r="E35" s="729">
        <f>COUNTIF(PBL!J:J,"合成*NT")</f>
        <v>0</v>
      </c>
      <c r="F35" s="168">
        <f>COUNTIF(PBL!A:A,"SYS*")</f>
        <v>95</v>
      </c>
      <c r="G35" s="731">
        <f t="shared" si="1"/>
        <v>0</v>
      </c>
      <c r="H35" s="730"/>
    </row>
    <row r="36" spans="1:13">
      <c r="B36" s="726" t="s">
        <v>1352</v>
      </c>
      <c r="C36" s="727" t="e">
        <f>COUNTIF(#REF!,"合成* PASS")</f>
        <v>#REF!</v>
      </c>
      <c r="D36" s="728" t="e">
        <f>COUNTIF(#REF!,"合成* FAIL")</f>
        <v>#REF!</v>
      </c>
      <c r="E36" s="729" t="e">
        <f>COUNTIF(#REF!,"合成*NT")</f>
        <v>#REF!</v>
      </c>
      <c r="F36" s="168">
        <f>COUNTIF(DMA!A:A,"PCI*")</f>
        <v>17</v>
      </c>
      <c r="G36" s="731" t="e">
        <f t="shared" si="1"/>
        <v>#REF!</v>
      </c>
      <c r="H36" s="730" t="s">
        <v>2332</v>
      </c>
    </row>
    <row r="37" spans="1:13">
      <c r="B37" s="726" t="s">
        <v>1353</v>
      </c>
      <c r="C37" s="727" t="e">
        <f>COUNTIF(#REF!,"合成* PASS")</f>
        <v>#REF!</v>
      </c>
      <c r="D37" s="728">
        <f>COUNTIF(管理工具!J:J,"合成* FAIL")</f>
        <v>0</v>
      </c>
      <c r="E37" s="729" t="e">
        <f>COUNTIF(#REF!,"合成*NT")</f>
        <v>#REF!</v>
      </c>
      <c r="F37" s="168">
        <f>COUNTIF(管理工具!A:A,"PCI*")</f>
        <v>165</v>
      </c>
      <c r="G37" s="731" t="e">
        <f t="shared" si="1"/>
        <v>#REF!</v>
      </c>
      <c r="H37" s="730"/>
    </row>
    <row r="38" spans="1:13">
      <c r="B38" s="726" t="s">
        <v>2343</v>
      </c>
      <c r="C38" s="727" t="e">
        <f>COUNTIF(#REF!,"合成* PASS")</f>
        <v>#REF!</v>
      </c>
      <c r="D38" s="728">
        <f>COUNTIF(管理工具!I:I,"合成* FAIL")</f>
        <v>0</v>
      </c>
      <c r="E38" s="729">
        <f>COUNTIF(管理工具!I:I,"合成*NT")</f>
        <v>0</v>
      </c>
      <c r="F38" s="168" t="e">
        <f>COUNTIF(#REF!,"PCI*")</f>
        <v>#REF!</v>
      </c>
      <c r="G38" s="731" t="e">
        <f t="shared" si="1"/>
        <v>#REF!</v>
      </c>
      <c r="H38" s="730" t="s">
        <v>2332</v>
      </c>
    </row>
    <row r="39" spans="1:13">
      <c r="B39" s="726" t="s">
        <v>1354</v>
      </c>
      <c r="C39" s="727" t="e">
        <f>COUNTIF(#REF!,"合成* PASS")</f>
        <v>#REF!</v>
      </c>
      <c r="D39" s="728" t="e">
        <f>COUNTIF(#REF!,"合成* FAIL")</f>
        <v>#REF!</v>
      </c>
      <c r="E39" s="729" t="e">
        <f>COUNTIF(#REF!,"合成*NT")</f>
        <v>#REF!</v>
      </c>
      <c r="F39" s="168">
        <f>COUNTIF(兼容性!A:A,"PCI*")</f>
        <v>33</v>
      </c>
      <c r="G39" s="731" t="e">
        <f t="shared" si="1"/>
        <v>#REF!</v>
      </c>
      <c r="H39" s="730" t="s">
        <v>2332</v>
      </c>
    </row>
    <row r="40" spans="1:13">
      <c r="A40" s="723"/>
      <c r="B40" s="733" t="s">
        <v>2340</v>
      </c>
      <c r="C40" s="734" t="e">
        <f>SUM(C25:C38)</f>
        <v>#REF!</v>
      </c>
      <c r="D40" s="734" t="e">
        <f>SUM(D25:D38)</f>
        <v>#REF!</v>
      </c>
      <c r="E40" s="734" t="e">
        <f>SUM(E25:E38)</f>
        <v>#REF!</v>
      </c>
      <c r="F40" s="734" t="e">
        <f>SUM(F25:F39)</f>
        <v>#REF!</v>
      </c>
      <c r="G40" s="735" t="e">
        <f t="shared" si="1"/>
        <v>#REF!</v>
      </c>
      <c r="H40" s="736"/>
    </row>
    <row r="43" spans="1:13">
      <c r="A43" s="723"/>
      <c r="B43" s="1052" t="s">
        <v>2344</v>
      </c>
      <c r="C43" s="957"/>
      <c r="D43" s="957"/>
      <c r="E43" s="957"/>
      <c r="F43" s="957"/>
      <c r="G43" s="1053"/>
      <c r="H43" s="976"/>
    </row>
    <row r="44" spans="1:13">
      <c r="B44" s="737"/>
      <c r="C44" s="738" t="s">
        <v>23</v>
      </c>
      <c r="D44" s="739" t="s">
        <v>64</v>
      </c>
      <c r="E44" s="740" t="s">
        <v>416</v>
      </c>
      <c r="F44" s="741" t="s">
        <v>2328</v>
      </c>
      <c r="G44" s="741" t="s">
        <v>2329</v>
      </c>
      <c r="H44" s="742" t="s">
        <v>2330</v>
      </c>
    </row>
    <row r="45" spans="1:13">
      <c r="B45" s="726" t="s">
        <v>2345</v>
      </c>
      <c r="C45" s="727">
        <f>COUNTIFS(协议类测试!A:A,"PCIe_SYS_ENUM*",协议类测试!J:J,"*基础回片 PASS*")</f>
        <v>0</v>
      </c>
      <c r="D45" s="728">
        <f>COUNTIFS(协议类测试!A:A,"PCIe_SYS_ENUM*",协议类测试!J:J,"*基础回片 FAIL*")</f>
        <v>0</v>
      </c>
      <c r="E45" s="729">
        <f>COUNTIFS(协议类测试!A:A,"PCIe_SYS_ENUM*",协议类测试!J:J,"*基础回片 NT*")</f>
        <v>0</v>
      </c>
      <c r="F45" s="36">
        <f>COUNTIF(协议类测试!A:A,"PCIe_SYS_ENUM*")</f>
        <v>7</v>
      </c>
      <c r="G45" s="592">
        <f t="shared" ref="G45:G69" si="2">SUM(C45:D45)/F45</f>
        <v>0</v>
      </c>
      <c r="H45" s="743" t="s">
        <v>2346</v>
      </c>
      <c r="L45" s="36" t="s">
        <v>2347</v>
      </c>
      <c r="M45" s="744"/>
    </row>
    <row r="46" spans="1:13">
      <c r="B46" s="726" t="s">
        <v>2348</v>
      </c>
      <c r="C46" s="727">
        <f>COUNTIFS(协议类测试!A:A,"PCIe_SYS_RST_*",协议类测试!J:J,"*基础回片 PASS*")</f>
        <v>0</v>
      </c>
      <c r="D46" s="728">
        <f>COUNTIFS(协议类测试!A:A,"PCIe_SYS_RST_*",协议类测试!J:J,"*基础回片 FAIL*")</f>
        <v>0</v>
      </c>
      <c r="E46" s="729">
        <f>COUNTIFS(协议类测试!A:A,"PCIe_SYS_RST_*",协议类测试!J:J,"*基础回片 NT*")</f>
        <v>0</v>
      </c>
      <c r="F46" s="36">
        <f>COUNTIF(协议类测试!A:A,"*RST_*")</f>
        <v>8</v>
      </c>
      <c r="G46" s="592">
        <f t="shared" si="2"/>
        <v>0</v>
      </c>
      <c r="H46" s="743" t="s">
        <v>2349</v>
      </c>
      <c r="L46" s="36" t="s">
        <v>2347</v>
      </c>
      <c r="M46" s="744"/>
    </row>
    <row r="47" spans="1:13">
      <c r="B47" s="726" t="s">
        <v>2350</v>
      </c>
      <c r="C47" s="727">
        <f>COUNTIFS(协议类测试!A:A,"PCIe_SYS_MEM*",协议类测试!J:J,"*基础回片 PASS*")</f>
        <v>0</v>
      </c>
      <c r="D47" s="728">
        <f>COUNTIFS(协议类测试!A:A,"PCIe_SYS_MEM*",协议类测试!J:J,"*基础回片 FAIL*")</f>
        <v>0</v>
      </c>
      <c r="E47" s="729">
        <f>COUNTIFS(协议类测试!A:A,"PCIe_SYS_MEM*",协议类测试!J:J,"*基础回片 NT*")</f>
        <v>0</v>
      </c>
      <c r="F47" s="36">
        <f>COUNTIF(协议类测试!A:A,"*_MEM*")</f>
        <v>19</v>
      </c>
      <c r="G47" s="592">
        <f t="shared" si="2"/>
        <v>0</v>
      </c>
      <c r="H47" s="743" t="s">
        <v>2351</v>
      </c>
      <c r="L47" s="36" t="s">
        <v>2347</v>
      </c>
      <c r="M47" s="744"/>
    </row>
    <row r="48" spans="1:13">
      <c r="B48" s="726" t="s">
        <v>2352</v>
      </c>
      <c r="C48" s="727">
        <f>COUNTIFS(协议类测试!A:A,"*_CFG*",协议类测试!J:J,"*基础回片 PASS*")</f>
        <v>0</v>
      </c>
      <c r="D48" s="728">
        <f>COUNTIFS(协议类测试!A:A,"*_CFG*",协议类测试!J:J,"*基础回片 FAIL*")</f>
        <v>0</v>
      </c>
      <c r="E48" s="729">
        <f>COUNTIFS(协议类测试!A:A,"*_CFG*",协议类测试!J:J,"*基础回片 NT*")</f>
        <v>0</v>
      </c>
      <c r="F48" s="36">
        <f>COUNTIF(协议类测试!A:A,"*_CFG*")</f>
        <v>5</v>
      </c>
      <c r="G48" s="592">
        <f t="shared" si="2"/>
        <v>0</v>
      </c>
      <c r="H48" s="743" t="s">
        <v>2334</v>
      </c>
      <c r="L48" s="36" t="s">
        <v>2347</v>
      </c>
      <c r="M48" s="744"/>
    </row>
    <row r="49" spans="2:13">
      <c r="B49" s="726" t="s">
        <v>2353</v>
      </c>
      <c r="C49" s="727">
        <f>COUNTIFS(协议类测试!A:A,"*CPL*",协议类测试!J:J,"*基础回片 PASS*")</f>
        <v>0</v>
      </c>
      <c r="D49" s="728">
        <f>COUNTIFS(协议类测试!A:A,"*CPL*",协议类测试!J:J,"*基础回片 FAIL*")</f>
        <v>0</v>
      </c>
      <c r="E49" s="729">
        <f>COUNTIFS(协议类测试!A:A,"*CPL*",协议类测试!J:J,"*基础回片 NT*")</f>
        <v>0</v>
      </c>
      <c r="F49" s="36">
        <f>COUNTIF(协议类测试!A:A,"*_CPL_*")</f>
        <v>2</v>
      </c>
      <c r="G49" s="592">
        <f t="shared" si="2"/>
        <v>0</v>
      </c>
      <c r="H49" s="743" t="s">
        <v>2334</v>
      </c>
      <c r="L49" s="36" t="s">
        <v>2347</v>
      </c>
      <c r="M49" s="744"/>
    </row>
    <row r="50" spans="2:13">
      <c r="B50" s="726" t="s">
        <v>2354</v>
      </c>
      <c r="C50" s="727">
        <f>COUNTIFS(协议类测试!A:A,"*CPL*",协议类测试!J:J,"*基础回片 PASS*")</f>
        <v>0</v>
      </c>
      <c r="D50" s="728">
        <f>COUNTIFS(协议类测试!A:A,"*CPL*",协议类测试!J:J,"*基础回片 FAIL*")</f>
        <v>0</v>
      </c>
      <c r="E50" s="729">
        <f>COUNTIFS(协议类测试!A:A,"*CPL*",协议类测试!J:J,"*基础回片 NT*")</f>
        <v>0</v>
      </c>
      <c r="F50" s="36">
        <f>COUNTIF(协议类测试!A:A,"*_IO*")</f>
        <v>5</v>
      </c>
      <c r="G50" s="592">
        <f t="shared" si="2"/>
        <v>0</v>
      </c>
      <c r="H50" s="743" t="s">
        <v>2346</v>
      </c>
      <c r="L50" s="36" t="s">
        <v>2355</v>
      </c>
      <c r="M50" s="744"/>
    </row>
    <row r="51" spans="2:13">
      <c r="B51" s="726" t="s">
        <v>2356</v>
      </c>
      <c r="C51" s="727">
        <f>COUNTIFS(协议类测试!A:A,"*CPL*",协议类测试!J:J,"*基础回片 PASS*")</f>
        <v>0</v>
      </c>
      <c r="D51" s="728">
        <f>COUNTIFS(协议类测试!A:A,"*CPL*",协议类测试!J:J,"*基础回片 FAIL*")</f>
        <v>0</v>
      </c>
      <c r="E51" s="729">
        <f>COUNTIFS(协议类测试!A:A,"*CPL*",协议类测试!J:J,"*基础回片 NT*")</f>
        <v>0</v>
      </c>
      <c r="F51" s="36">
        <f>COUNTIF(协议类测试!A:A,"*MSG*")</f>
        <v>12</v>
      </c>
      <c r="G51" s="592">
        <f t="shared" si="2"/>
        <v>0</v>
      </c>
      <c r="H51" s="743" t="s">
        <v>2349</v>
      </c>
      <c r="L51" s="36" t="s">
        <v>2355</v>
      </c>
      <c r="M51" s="744"/>
    </row>
    <row r="52" spans="2:13">
      <c r="B52" s="726" t="s">
        <v>2357</v>
      </c>
      <c r="C52" s="727">
        <f>COUNTIFS(协议类测试!A:A,"*CPL*",协议类测试!J:J,"*基础回片 PASS*")</f>
        <v>0</v>
      </c>
      <c r="D52" s="728">
        <f>COUNTIFS(协议类测试!A:A,"*CPL*",协议类测试!J:J,"*基础回片 FAIL*")</f>
        <v>0</v>
      </c>
      <c r="E52" s="729">
        <f>COUNTIFS(协议类测试!A:A,"*CPL*",协议类测试!J:J,"*基础回片 NT*")</f>
        <v>0</v>
      </c>
      <c r="F52" s="36">
        <f>COUNTIF(协议类测试!A:A,"*INT*")</f>
        <v>6</v>
      </c>
      <c r="G52" s="592">
        <f t="shared" si="2"/>
        <v>0</v>
      </c>
      <c r="H52" s="743" t="s">
        <v>2346</v>
      </c>
      <c r="L52" s="36" t="s">
        <v>2355</v>
      </c>
      <c r="M52" s="744"/>
    </row>
    <row r="53" spans="2:13">
      <c r="B53" s="726" t="s">
        <v>2358</v>
      </c>
      <c r="C53" s="727">
        <f>COUNTIFS(协议类测试!A:A,"*CPL*",协议类测试!J:J,"*基础回片 PASS*")</f>
        <v>0</v>
      </c>
      <c r="D53" s="728">
        <f>COUNTIFS(协议类测试!A:A,"*CPL*",协议类测试!J:J,"*基础回片 FAIL*")</f>
        <v>0</v>
      </c>
      <c r="E53" s="729">
        <f>COUNTIFS(协议类测试!A:A,"*CPL*",协议类测试!J:J,"*基础回片 NT*")</f>
        <v>0</v>
      </c>
      <c r="F53" s="36">
        <f>COUNTIF(协议类测试!A:A,"*ATOMIC*")</f>
        <v>10</v>
      </c>
      <c r="G53" s="592">
        <f t="shared" si="2"/>
        <v>0</v>
      </c>
      <c r="H53" s="743" t="s">
        <v>2334</v>
      </c>
      <c r="L53" s="36" t="s">
        <v>2359</v>
      </c>
      <c r="M53" s="744"/>
    </row>
    <row r="54" spans="2:13">
      <c r="B54" s="726" t="s">
        <v>2360</v>
      </c>
      <c r="C54" s="727">
        <f>COUNTIFS(协议类测试!A:A,"*CPL*",协议类测试!J:J,"*基础回片 PASS*")</f>
        <v>0</v>
      </c>
      <c r="D54" s="728">
        <f>COUNTIFS(协议类测试!A:A,"*CPL*",协议类测试!J:J,"*基础回片 FAIL*")</f>
        <v>0</v>
      </c>
      <c r="E54" s="729">
        <f>COUNTIFS(协议类测试!A:A,"*CPL*",协议类测试!J:J,"*基础回片 NT*")</f>
        <v>0</v>
      </c>
      <c r="F54" s="36">
        <f>COUNTIF(协议类测试!A:A,"*SLOT*")</f>
        <v>13</v>
      </c>
      <c r="G54" s="592">
        <f t="shared" si="2"/>
        <v>0</v>
      </c>
      <c r="H54" s="743" t="s">
        <v>2346</v>
      </c>
      <c r="L54" s="36" t="s">
        <v>2359</v>
      </c>
      <c r="M54" s="744"/>
    </row>
    <row r="55" spans="2:13">
      <c r="B55" s="726" t="s">
        <v>2361</v>
      </c>
      <c r="C55" s="727">
        <f>COUNTIFS(协议类测试!A:A,"*CPL*",协议类测试!J:J,"*基础回片 PASS*")</f>
        <v>0</v>
      </c>
      <c r="D55" s="728">
        <f>COUNTIFS(协议类测试!A:A,"*CPL*",协议类测试!J:J,"*基础回片 FAIL*")</f>
        <v>0</v>
      </c>
      <c r="E55" s="729">
        <f>COUNTIFS(协议类测试!A:A,"*CPL*",协议类测试!J:J,"*基础回片 NT*")</f>
        <v>0</v>
      </c>
      <c r="F55" s="36">
        <f>COUNTIF(协议类测试!A:A,"*MPS*")</f>
        <v>7</v>
      </c>
      <c r="G55" s="592">
        <f t="shared" si="2"/>
        <v>0</v>
      </c>
      <c r="H55" s="743" t="s">
        <v>2349</v>
      </c>
      <c r="L55" s="36" t="s">
        <v>2359</v>
      </c>
      <c r="M55" s="744"/>
    </row>
    <row r="56" spans="2:13">
      <c r="B56" s="726" t="s">
        <v>2362</v>
      </c>
      <c r="C56" s="727">
        <f>COUNTIFS(协议类测试!A:A,"*CPL*",协议类测试!J:J,"*基础回片 PASS*")</f>
        <v>0</v>
      </c>
      <c r="D56" s="728">
        <f>COUNTIFS(协议类测试!A:A,"*CPL*",协议类测试!J:J,"*基础回片 FAIL*")</f>
        <v>0</v>
      </c>
      <c r="E56" s="729">
        <f>COUNTIFS(协议类测试!A:A,"*CPL*",协议类测试!J:J,"*基础回片 NT*")</f>
        <v>0</v>
      </c>
      <c r="F56" s="36">
        <f>COUNTIF(协议类测试!A:A,"*ATTR*")</f>
        <v>10</v>
      </c>
      <c r="G56" s="592">
        <f t="shared" si="2"/>
        <v>0</v>
      </c>
      <c r="H56" s="743" t="s">
        <v>2334</v>
      </c>
      <c r="L56" s="36" t="s">
        <v>2363</v>
      </c>
      <c r="M56" s="744"/>
    </row>
    <row r="57" spans="2:13">
      <c r="B57" s="726" t="s">
        <v>2364</v>
      </c>
      <c r="C57" s="727">
        <f>COUNTIFS(协议类测试!A:A,"*CPL*",协议类测试!J:J,"*基础回片 PASS*")</f>
        <v>0</v>
      </c>
      <c r="D57" s="728">
        <f>COUNTIFS(协议类测试!A:A,"*CPL*",协议类测试!J:J,"*基础回片 FAIL*")</f>
        <v>0</v>
      </c>
      <c r="E57" s="729">
        <f>COUNTIFS(协议类测试!A:A,"*CPL*",协议类测试!J:J,"*基础回片 NT*")</f>
        <v>0</v>
      </c>
      <c r="F57" s="36">
        <f>COUNTIF(协议类测试!A:A,"*TAG*")</f>
        <v>1</v>
      </c>
      <c r="G57" s="592">
        <f t="shared" si="2"/>
        <v>0</v>
      </c>
      <c r="H57" s="743" t="s">
        <v>2334</v>
      </c>
      <c r="L57" s="36" t="s">
        <v>2363</v>
      </c>
      <c r="M57" s="744"/>
    </row>
    <row r="58" spans="2:13">
      <c r="B58" s="726" t="s">
        <v>2365</v>
      </c>
      <c r="C58" s="727">
        <f>COUNTIFS(协议类测试!A:A,"*CPL*",协议类测试!J:J,"*基础回片 PASS*")</f>
        <v>0</v>
      </c>
      <c r="D58" s="728">
        <f>COUNTIFS(协议类测试!A:A,"*CPL*",协议类测试!J:J,"*基础回片 FAIL*")</f>
        <v>0</v>
      </c>
      <c r="E58" s="729">
        <f>COUNTIFS(协议类测试!A:A,"*CPL*",协议类测试!J:J,"*基础回片 NT*")</f>
        <v>0</v>
      </c>
      <c r="F58" s="36">
        <f>COUNTIF(协议类测试!A:A,"*_ARI*")</f>
        <v>1</v>
      </c>
      <c r="G58" s="592">
        <f t="shared" si="2"/>
        <v>0</v>
      </c>
      <c r="H58" s="743" t="s">
        <v>2351</v>
      </c>
      <c r="L58" s="36"/>
      <c r="M58" s="744"/>
    </row>
    <row r="59" spans="2:13">
      <c r="B59" s="726" t="s">
        <v>2366</v>
      </c>
      <c r="C59" s="727">
        <f>COUNTIFS(协议类测试!A:A,"*CPL*",协议类测试!J:J,"*基础回片 PASS*")</f>
        <v>0</v>
      </c>
      <c r="D59" s="728">
        <f>COUNTIFS(协议类测试!A:A,"*CPL*",协议类测试!J:J,"*基础回片 FAIL*")</f>
        <v>0</v>
      </c>
      <c r="E59" s="729">
        <f>COUNTIFS(协议类测试!A:A,"*CPL*",协议类测试!J:J,"*基础回片 NT*")</f>
        <v>0</v>
      </c>
      <c r="F59" s="36">
        <f>COUNTIF(协议类测试!A:A,"*LOCKED*")</f>
        <v>3</v>
      </c>
      <c r="G59" s="592">
        <f t="shared" si="2"/>
        <v>0</v>
      </c>
      <c r="H59" s="743" t="s">
        <v>2351</v>
      </c>
      <c r="L59" s="36"/>
      <c r="M59" s="744"/>
    </row>
    <row r="60" spans="2:13">
      <c r="B60" s="726" t="s">
        <v>2367</v>
      </c>
      <c r="C60" s="727">
        <f>COUNTIFS(协议类测试!A:A,"*CPL*",协议类测试!J:J,"*基础回片 PASS*")</f>
        <v>0</v>
      </c>
      <c r="D60" s="728">
        <f>COUNTIFS(协议类测试!A:A,"*CPL*",协议类测试!J:J,"*基础回片 FAIL*")</f>
        <v>0</v>
      </c>
      <c r="E60" s="729">
        <f>COUNTIFS(协议类测试!A:A,"*CPL*",协议类测试!J:J,"*基础回片 NT*")</f>
        <v>0</v>
      </c>
      <c r="F60" s="36">
        <f>COUNTIF(协议类测试!A:A,"*ERR_*")</f>
        <v>3</v>
      </c>
      <c r="G60" s="592">
        <f t="shared" si="2"/>
        <v>0</v>
      </c>
      <c r="H60" s="743" t="s">
        <v>2334</v>
      </c>
      <c r="L60" s="36" t="s">
        <v>2363</v>
      </c>
      <c r="M60" s="744"/>
    </row>
    <row r="61" spans="2:13">
      <c r="B61" s="726" t="s">
        <v>2368</v>
      </c>
      <c r="C61" s="727">
        <f>COUNTIFS(协议类测试!A:A,"*CPL*",协议类测试!J:J,"*基础回片 PASS*")</f>
        <v>0</v>
      </c>
      <c r="D61" s="728">
        <f>COUNTIFS(协议类测试!A:A,"*CPL*",协议类测试!J:J,"*基础回片 FAIL*")</f>
        <v>0</v>
      </c>
      <c r="E61" s="729">
        <f>COUNTIFS(协议类测试!A:A,"*CPL*",协议类测试!J:J,"*基础回片 NT*")</f>
        <v>0</v>
      </c>
      <c r="F61" s="36">
        <f>COUNTIF(协议类测试!A:A,"*AER*")</f>
        <v>51</v>
      </c>
      <c r="G61" s="592">
        <f t="shared" si="2"/>
        <v>0</v>
      </c>
      <c r="H61" s="743" t="s">
        <v>2334</v>
      </c>
      <c r="L61" s="36" t="s">
        <v>2355</v>
      </c>
      <c r="M61" s="744"/>
    </row>
    <row r="62" spans="2:13">
      <c r="B62" s="726" t="s">
        <v>2369</v>
      </c>
      <c r="C62" s="727">
        <f>COUNTIFS(协议类测试!A:A,"*_PM*",协议类测试!J:J,"*基础回片 PASS*")</f>
        <v>0</v>
      </c>
      <c r="D62" s="728">
        <f>COUNTIFS(协议类测试!A:A,"*_PM*",协议类测试!J:J,"*基础回片 FAIL*")</f>
        <v>0</v>
      </c>
      <c r="E62" s="729">
        <f>COUNTIFS(协议类测试!A:A,"*_PM*",协议类测试!J:J,"*基础回片 NT*")</f>
        <v>0</v>
      </c>
      <c r="F62" s="36">
        <f>COUNTIF(协议类测试!A:A,"*PM*")</f>
        <v>23</v>
      </c>
      <c r="G62" s="592">
        <f t="shared" si="2"/>
        <v>0</v>
      </c>
      <c r="H62" s="743" t="s">
        <v>2351</v>
      </c>
      <c r="L62" s="36" t="s">
        <v>2363</v>
      </c>
      <c r="M62" s="744"/>
    </row>
    <row r="63" spans="2:13">
      <c r="B63" s="726" t="s">
        <v>2370</v>
      </c>
      <c r="C63" s="727">
        <f>COUNTIFS(协议类测试!A:A,"*LINK*",协议类测试!J:J,"*基础回片 PASS*")</f>
        <v>0</v>
      </c>
      <c r="D63" s="728">
        <f>COUNTIFS(协议类测试!A:A,"*LINK*",协议类测试!J:J,"*基础回片 FAIL*")</f>
        <v>0</v>
      </c>
      <c r="E63" s="729">
        <f>COUNTIFS(协议类测试!A:A,"*LINK*",协议类测试!J:J,"*基础回片 NT*")</f>
        <v>0</v>
      </c>
      <c r="F63" s="36">
        <f>COUNTIF(协议类测试!A:A,"*LINK*")</f>
        <v>12</v>
      </c>
      <c r="G63" s="592">
        <f t="shared" si="2"/>
        <v>0</v>
      </c>
      <c r="H63" s="743" t="s">
        <v>2351</v>
      </c>
      <c r="L63" s="36" t="s">
        <v>2363</v>
      </c>
      <c r="M63" s="744"/>
    </row>
    <row r="64" spans="2:13">
      <c r="B64" s="726" t="s">
        <v>2371</v>
      </c>
      <c r="C64" s="727">
        <f>COUNTIFS(协议类测试!A:A,"*CPL*",协议类测试!J:J,"*基础回片 PASS*")</f>
        <v>0</v>
      </c>
      <c r="D64" s="728">
        <f>COUNTIFS(协议类测试!A:A,"*CPL*",协议类测试!J:J,"*基础回片 FAIL*")</f>
        <v>0</v>
      </c>
      <c r="E64" s="729">
        <f>COUNTIFS(协议类测试!A:A,"*CPL*",协议类测试!J:J,"*基础回片 NT*")</f>
        <v>0</v>
      </c>
      <c r="F64" s="36">
        <f>COUNTIF(协议类测试!A:A,"*PREFIX*")</f>
        <v>2</v>
      </c>
      <c r="G64" s="592">
        <f t="shared" si="2"/>
        <v>0</v>
      </c>
      <c r="H64" s="743" t="s">
        <v>2351</v>
      </c>
      <c r="L64" s="36" t="s">
        <v>2363</v>
      </c>
      <c r="M64" s="744"/>
    </row>
    <row r="65" spans="1:13">
      <c r="B65" s="726" t="s">
        <v>2372</v>
      </c>
      <c r="C65" s="727">
        <f>COUNTIFS(协议类测试!A:A,"*CPL*",协议类测试!J:J,"*基础回片 PASS*")</f>
        <v>0</v>
      </c>
      <c r="D65" s="728">
        <f>COUNTIFS(协议类测试!A:A,"*CPL*",协议类测试!J:J,"*基础回片 FAIL*")</f>
        <v>0</v>
      </c>
      <c r="E65" s="729">
        <f>COUNTIFS(协议类测试!A:A,"*CPL*",协议类测试!J:J,"*基础回片 NT*")</f>
        <v>0</v>
      </c>
      <c r="F65" s="36">
        <f>COUNTIF(协议类测试!A:A,"*DPC*")</f>
        <v>9</v>
      </c>
      <c r="G65" s="592">
        <f t="shared" si="2"/>
        <v>0</v>
      </c>
      <c r="H65" s="743" t="s">
        <v>2349</v>
      </c>
      <c r="L65" s="36" t="s">
        <v>2355</v>
      </c>
      <c r="M65" s="744"/>
    </row>
    <row r="66" spans="1:13">
      <c r="B66" s="726" t="s">
        <v>2373</v>
      </c>
      <c r="C66" s="727">
        <f>COUNTIFS(协议类测试!A:A,"*CPL*",协议类测试!J:J,"*基础回片 PASS*")</f>
        <v>0</v>
      </c>
      <c r="D66" s="728">
        <f>COUNTIFS(协议类测试!A:A,"*CPL*",协议类测试!J:J,"*基础回片 FAIL*")</f>
        <v>0</v>
      </c>
      <c r="E66" s="729">
        <f>COUNTIFS(协议类测试!A:A,"*CPL*",协议类测试!J:J,"*基础回片 NT*")</f>
        <v>0</v>
      </c>
      <c r="F66" s="36">
        <f>COUNTIF(协议类测试!A:A,"*HP*")</f>
        <v>17</v>
      </c>
      <c r="G66" s="592">
        <f t="shared" si="2"/>
        <v>0</v>
      </c>
      <c r="H66" s="743" t="s">
        <v>2349</v>
      </c>
      <c r="L66" s="36" t="s">
        <v>2347</v>
      </c>
      <c r="M66" s="744"/>
    </row>
    <row r="67" spans="1:13">
      <c r="B67" s="726" t="s">
        <v>2374</v>
      </c>
      <c r="C67" s="727">
        <f>COUNTIFS(协议类测试!A:A,"*CPL*",协议类测试!J:J,"*基础回片 PASS*")</f>
        <v>0</v>
      </c>
      <c r="D67" s="728">
        <f>COUNTIFS(协议类测试!A:A,"*CPL*",协议类测试!J:J,"*基础回片 FAIL*")</f>
        <v>0</v>
      </c>
      <c r="E67" s="729">
        <f>COUNTIFS(协议类测试!A:A,"*CPL*",协议类测试!J:J,"*基础回片 NT*")</f>
        <v>0</v>
      </c>
      <c r="F67" s="36">
        <f>COUNTIF(协议类测试!A:A,"*NPEM*")</f>
        <v>11</v>
      </c>
      <c r="G67" s="592">
        <f t="shared" si="2"/>
        <v>0</v>
      </c>
      <c r="H67" s="743" t="s">
        <v>2349</v>
      </c>
      <c r="L67" s="36"/>
      <c r="M67" s="744"/>
    </row>
    <row r="68" spans="1:13">
      <c r="B68" s="726" t="s">
        <v>2375</v>
      </c>
      <c r="C68" s="727">
        <f>COUNTIFS(协议类测试!A:A,"*CPL*",协议类测试!J:J,"*基础回片 PASS*")</f>
        <v>0</v>
      </c>
      <c r="D68" s="728">
        <f>COUNTIFS(协议类测试!A:A,"*CPL*",协议类测试!J:J,"*基础回片 FAIL*")</f>
        <v>0</v>
      </c>
      <c r="E68" s="729">
        <f>COUNTIFS(协议类测试!A:A,"*CPL*",协议类测试!J:J,"*基础回片 NT*")</f>
        <v>0</v>
      </c>
      <c r="F68" s="36">
        <f>COUNTIF(协议类测试!A:A,"*GPIOMux*")</f>
        <v>0</v>
      </c>
      <c r="G68" s="592" t="e">
        <f t="shared" si="2"/>
        <v>#DIV/0!</v>
      </c>
      <c r="H68" s="743"/>
    </row>
    <row r="69" spans="1:13">
      <c r="A69" s="723"/>
      <c r="B69" s="733" t="s">
        <v>2340</v>
      </c>
      <c r="C69" s="734">
        <f>SUM(C45:C67)</f>
        <v>0</v>
      </c>
      <c r="D69" s="734">
        <f>SUM(D45:D67)</f>
        <v>0</v>
      </c>
      <c r="E69" s="734">
        <f>SUM(E45:E67)</f>
        <v>0</v>
      </c>
      <c r="F69" s="745">
        <f>SUM(F45:F68)</f>
        <v>237</v>
      </c>
      <c r="G69" s="746">
        <f t="shared" si="2"/>
        <v>0</v>
      </c>
      <c r="H69" s="736"/>
    </row>
    <row r="72" spans="1:13">
      <c r="A72" s="723"/>
      <c r="B72" s="1052" t="s">
        <v>2376</v>
      </c>
      <c r="C72" s="957"/>
      <c r="D72" s="957"/>
      <c r="E72" s="957"/>
      <c r="F72" s="957"/>
      <c r="G72" s="976"/>
    </row>
    <row r="73" spans="1:13">
      <c r="B73" s="726"/>
      <c r="C73" s="727" t="s">
        <v>23</v>
      </c>
      <c r="D73" s="728" t="s">
        <v>64</v>
      </c>
      <c r="E73" s="729" t="s">
        <v>416</v>
      </c>
      <c r="F73" s="168" t="s">
        <v>2328</v>
      </c>
      <c r="G73" s="730" t="s">
        <v>2329</v>
      </c>
    </row>
    <row r="74" spans="1:13">
      <c r="B74" s="726" t="s">
        <v>2345</v>
      </c>
      <c r="C74" s="727">
        <v>0</v>
      </c>
      <c r="D74" s="728">
        <v>0</v>
      </c>
      <c r="E74" s="729">
        <v>0</v>
      </c>
      <c r="F74" s="168">
        <f>COUNTIF(协议类测试!A:A,"PCIe_SYS_ENUM*")</f>
        <v>7</v>
      </c>
      <c r="G74" s="747">
        <f t="shared" ref="G74:G98" si="3">SUM(C74:E74)/F74</f>
        <v>0</v>
      </c>
      <c r="H74" s="168" t="s">
        <v>2346</v>
      </c>
      <c r="L74" s="36" t="s">
        <v>2347</v>
      </c>
      <c r="M74" s="744"/>
    </row>
    <row r="75" spans="1:13">
      <c r="B75" s="726" t="s">
        <v>2348</v>
      </c>
      <c r="C75" s="727">
        <v>0</v>
      </c>
      <c r="D75" s="728">
        <v>0</v>
      </c>
      <c r="E75" s="729">
        <v>0</v>
      </c>
      <c r="F75" s="168">
        <f>COUNTIF(协议类测试!A:A,"*RST_*")</f>
        <v>8</v>
      </c>
      <c r="G75" s="747">
        <f t="shared" si="3"/>
        <v>0</v>
      </c>
      <c r="H75" s="168" t="s">
        <v>2349</v>
      </c>
      <c r="L75" s="36" t="s">
        <v>2347</v>
      </c>
      <c r="M75" s="744"/>
    </row>
    <row r="76" spans="1:13">
      <c r="B76" s="726" t="s">
        <v>2350</v>
      </c>
      <c r="C76" s="727">
        <v>0</v>
      </c>
      <c r="D76" s="728">
        <v>0</v>
      </c>
      <c r="E76" s="729">
        <v>0</v>
      </c>
      <c r="F76" s="168">
        <f>COUNTIF(协议类测试!A:A,"*_MEM*")</f>
        <v>19</v>
      </c>
      <c r="G76" s="747">
        <f t="shared" si="3"/>
        <v>0</v>
      </c>
      <c r="H76" s="168" t="s">
        <v>2351</v>
      </c>
      <c r="L76" s="36" t="s">
        <v>2347</v>
      </c>
      <c r="M76" s="744"/>
    </row>
    <row r="77" spans="1:13">
      <c r="B77" s="726" t="s">
        <v>2352</v>
      </c>
      <c r="C77" s="727">
        <v>0</v>
      </c>
      <c r="D77" s="728">
        <v>0</v>
      </c>
      <c r="E77" s="729">
        <v>0</v>
      </c>
      <c r="F77" s="168">
        <f>COUNTIF(协议类测试!A:A,"*_CFG*")</f>
        <v>5</v>
      </c>
      <c r="G77" s="747">
        <f t="shared" si="3"/>
        <v>0</v>
      </c>
      <c r="H77" s="168" t="s">
        <v>2334</v>
      </c>
      <c r="L77" s="36" t="s">
        <v>2347</v>
      </c>
      <c r="M77" s="744"/>
    </row>
    <row r="78" spans="1:13">
      <c r="B78" s="726" t="s">
        <v>2353</v>
      </c>
      <c r="C78" s="727">
        <v>0</v>
      </c>
      <c r="D78" s="728">
        <v>0</v>
      </c>
      <c r="E78" s="729">
        <v>0</v>
      </c>
      <c r="F78" s="168">
        <f>COUNTIF(协议类测试!A:A,"*_CPL_*")</f>
        <v>2</v>
      </c>
      <c r="G78" s="747">
        <f t="shared" si="3"/>
        <v>0</v>
      </c>
      <c r="H78" s="168" t="s">
        <v>2334</v>
      </c>
      <c r="L78" s="36" t="s">
        <v>2347</v>
      </c>
      <c r="M78" s="744"/>
    </row>
    <row r="79" spans="1:13">
      <c r="B79" s="726" t="s">
        <v>2354</v>
      </c>
      <c r="C79" s="727">
        <v>0</v>
      </c>
      <c r="D79" s="728">
        <v>0</v>
      </c>
      <c r="E79" s="729">
        <v>0</v>
      </c>
      <c r="F79" s="168">
        <f>COUNTIF(协议类测试!A:A,"*_IO*")</f>
        <v>5</v>
      </c>
      <c r="G79" s="747">
        <f t="shared" si="3"/>
        <v>0</v>
      </c>
      <c r="H79" s="168" t="s">
        <v>2346</v>
      </c>
      <c r="L79" s="36" t="s">
        <v>2355</v>
      </c>
      <c r="M79" s="744"/>
    </row>
    <row r="80" spans="1:13">
      <c r="B80" s="726" t="s">
        <v>2356</v>
      </c>
      <c r="C80" s="727">
        <v>0</v>
      </c>
      <c r="D80" s="728">
        <v>0</v>
      </c>
      <c r="E80" s="729">
        <v>0</v>
      </c>
      <c r="F80" s="168">
        <f>COUNTIF(协议类测试!A:A,"*MSG*")</f>
        <v>12</v>
      </c>
      <c r="G80" s="747">
        <f t="shared" si="3"/>
        <v>0</v>
      </c>
      <c r="H80" s="168" t="s">
        <v>2349</v>
      </c>
      <c r="L80" s="36" t="s">
        <v>2355</v>
      </c>
      <c r="M80" s="744"/>
    </row>
    <row r="81" spans="2:13">
      <c r="B81" s="726" t="s">
        <v>2357</v>
      </c>
      <c r="C81" s="727">
        <v>0</v>
      </c>
      <c r="D81" s="728">
        <v>0</v>
      </c>
      <c r="E81" s="729">
        <v>0</v>
      </c>
      <c r="F81" s="168">
        <f>COUNTIF(协议类测试!A:A,"*INT*")</f>
        <v>6</v>
      </c>
      <c r="G81" s="747">
        <f t="shared" si="3"/>
        <v>0</v>
      </c>
      <c r="H81" s="168" t="s">
        <v>2346</v>
      </c>
      <c r="L81" s="36" t="s">
        <v>2355</v>
      </c>
      <c r="M81" s="744"/>
    </row>
    <row r="82" spans="2:13">
      <c r="B82" s="726" t="s">
        <v>2358</v>
      </c>
      <c r="C82" s="727">
        <v>0</v>
      </c>
      <c r="D82" s="728">
        <v>0</v>
      </c>
      <c r="E82" s="729">
        <v>0</v>
      </c>
      <c r="F82" s="168">
        <f>COUNTIF(协议类测试!A:A,"*ATOMIC*")</f>
        <v>10</v>
      </c>
      <c r="G82" s="747">
        <f t="shared" si="3"/>
        <v>0</v>
      </c>
      <c r="H82" s="168" t="s">
        <v>2334</v>
      </c>
      <c r="L82" s="36" t="s">
        <v>2359</v>
      </c>
      <c r="M82" s="744"/>
    </row>
    <row r="83" spans="2:13">
      <c r="B83" s="726" t="s">
        <v>2360</v>
      </c>
      <c r="C83" s="727">
        <v>0</v>
      </c>
      <c r="D83" s="728">
        <v>0</v>
      </c>
      <c r="E83" s="729">
        <v>0</v>
      </c>
      <c r="F83" s="168">
        <f>COUNTIF(协议类测试!A:A,"*SLOT*")</f>
        <v>13</v>
      </c>
      <c r="G83" s="747">
        <f t="shared" si="3"/>
        <v>0</v>
      </c>
      <c r="H83" s="168" t="s">
        <v>2346</v>
      </c>
      <c r="L83" s="36" t="s">
        <v>2359</v>
      </c>
      <c r="M83" s="744"/>
    </row>
    <row r="84" spans="2:13">
      <c r="B84" s="726" t="s">
        <v>2361</v>
      </c>
      <c r="C84" s="727">
        <v>0</v>
      </c>
      <c r="D84" s="728">
        <v>0</v>
      </c>
      <c r="E84" s="729">
        <v>0</v>
      </c>
      <c r="F84" s="168">
        <f>COUNTIF(协议类测试!A:A,"*MPS*")</f>
        <v>7</v>
      </c>
      <c r="G84" s="747">
        <f t="shared" si="3"/>
        <v>0</v>
      </c>
      <c r="H84" s="168" t="s">
        <v>2349</v>
      </c>
      <c r="L84" s="36" t="s">
        <v>2359</v>
      </c>
      <c r="M84" s="744"/>
    </row>
    <row r="85" spans="2:13">
      <c r="B85" s="726" t="s">
        <v>2362</v>
      </c>
      <c r="C85" s="727">
        <v>0</v>
      </c>
      <c r="D85" s="728">
        <v>0</v>
      </c>
      <c r="E85" s="729">
        <v>0</v>
      </c>
      <c r="F85" s="168">
        <f>COUNTIF(协议类测试!A:A,"*ATTR*")</f>
        <v>10</v>
      </c>
      <c r="G85" s="747">
        <f t="shared" si="3"/>
        <v>0</v>
      </c>
      <c r="H85" s="168" t="s">
        <v>2334</v>
      </c>
      <c r="L85" s="36" t="s">
        <v>2363</v>
      </c>
      <c r="M85" s="744"/>
    </row>
    <row r="86" spans="2:13">
      <c r="B86" s="726" t="s">
        <v>2364</v>
      </c>
      <c r="C86" s="727">
        <v>0</v>
      </c>
      <c r="D86" s="728">
        <v>0</v>
      </c>
      <c r="E86" s="729">
        <v>0</v>
      </c>
      <c r="F86" s="168">
        <f>COUNTIF(协议类测试!A:A,"*TAG*")</f>
        <v>1</v>
      </c>
      <c r="G86" s="747">
        <f t="shared" si="3"/>
        <v>0</v>
      </c>
      <c r="H86" s="168" t="s">
        <v>2334</v>
      </c>
      <c r="L86" s="36" t="s">
        <v>2363</v>
      </c>
      <c r="M86" s="744"/>
    </row>
    <row r="87" spans="2:13">
      <c r="B87" s="726" t="s">
        <v>2365</v>
      </c>
      <c r="C87" s="727">
        <v>0</v>
      </c>
      <c r="D87" s="728">
        <v>0</v>
      </c>
      <c r="E87" s="729">
        <v>0</v>
      </c>
      <c r="F87" s="168">
        <f>COUNTIF(协议类测试!A:A,"*_ARI*")</f>
        <v>1</v>
      </c>
      <c r="G87" s="747">
        <f t="shared" si="3"/>
        <v>0</v>
      </c>
      <c r="H87" s="168" t="s">
        <v>2351</v>
      </c>
      <c r="L87" s="36"/>
      <c r="M87" s="744"/>
    </row>
    <row r="88" spans="2:13">
      <c r="B88" s="726" t="s">
        <v>2366</v>
      </c>
      <c r="C88" s="727">
        <v>0</v>
      </c>
      <c r="D88" s="728">
        <v>0</v>
      </c>
      <c r="E88" s="729">
        <v>0</v>
      </c>
      <c r="F88" s="168">
        <f>COUNTIF(协议类测试!A:A,"*LOCKED*")</f>
        <v>3</v>
      </c>
      <c r="G88" s="747">
        <f t="shared" si="3"/>
        <v>0</v>
      </c>
      <c r="H88" s="168" t="s">
        <v>2351</v>
      </c>
      <c r="L88" s="36"/>
      <c r="M88" s="744"/>
    </row>
    <row r="89" spans="2:13">
      <c r="B89" s="726" t="s">
        <v>2367</v>
      </c>
      <c r="C89" s="727">
        <v>0</v>
      </c>
      <c r="D89" s="728">
        <v>0</v>
      </c>
      <c r="E89" s="729">
        <v>0</v>
      </c>
      <c r="F89" s="168">
        <f>COUNTIF(协议类测试!A:A,"*ERR_*")</f>
        <v>3</v>
      </c>
      <c r="G89" s="747">
        <f t="shared" si="3"/>
        <v>0</v>
      </c>
      <c r="H89" s="168" t="s">
        <v>2334</v>
      </c>
      <c r="L89" s="36" t="s">
        <v>2363</v>
      </c>
      <c r="M89" s="744"/>
    </row>
    <row r="90" spans="2:13">
      <c r="B90" s="726" t="s">
        <v>2368</v>
      </c>
      <c r="C90" s="727">
        <v>0</v>
      </c>
      <c r="D90" s="728">
        <v>0</v>
      </c>
      <c r="E90" s="729">
        <v>0</v>
      </c>
      <c r="F90" s="168">
        <f>COUNTIF(协议类测试!A:A,"*AER*")</f>
        <v>51</v>
      </c>
      <c r="G90" s="747">
        <f t="shared" si="3"/>
        <v>0</v>
      </c>
      <c r="H90" s="168" t="s">
        <v>2334</v>
      </c>
      <c r="L90" s="36" t="s">
        <v>2355</v>
      </c>
      <c r="M90" s="744"/>
    </row>
    <row r="91" spans="2:13">
      <c r="B91" s="726" t="s">
        <v>2369</v>
      </c>
      <c r="C91" s="727">
        <v>0</v>
      </c>
      <c r="D91" s="728">
        <v>0</v>
      </c>
      <c r="E91" s="729">
        <v>0</v>
      </c>
      <c r="F91" s="168">
        <f>COUNTIF(协议类测试!A:A,"*PM*")</f>
        <v>23</v>
      </c>
      <c r="G91" s="747">
        <f t="shared" si="3"/>
        <v>0</v>
      </c>
      <c r="H91" s="168" t="s">
        <v>2351</v>
      </c>
      <c r="L91" s="36" t="s">
        <v>2363</v>
      </c>
      <c r="M91" s="744"/>
    </row>
    <row r="92" spans="2:13">
      <c r="B92" s="726" t="s">
        <v>2370</v>
      </c>
      <c r="C92" s="727">
        <v>0</v>
      </c>
      <c r="D92" s="728">
        <v>0</v>
      </c>
      <c r="E92" s="729">
        <v>0</v>
      </c>
      <c r="F92" s="168">
        <f>COUNTIF(协议类测试!A:A,"*LINK*")</f>
        <v>12</v>
      </c>
      <c r="G92" s="747">
        <f t="shared" si="3"/>
        <v>0</v>
      </c>
      <c r="H92" s="168" t="s">
        <v>2351</v>
      </c>
      <c r="L92" s="36" t="s">
        <v>2363</v>
      </c>
      <c r="M92" s="744"/>
    </row>
    <row r="93" spans="2:13">
      <c r="B93" s="726" t="s">
        <v>2371</v>
      </c>
      <c r="C93" s="727">
        <v>0</v>
      </c>
      <c r="D93" s="728">
        <v>0</v>
      </c>
      <c r="E93" s="729">
        <v>0</v>
      </c>
      <c r="F93" s="168">
        <f>COUNTIF(协议类测试!A:A,"*PREFIX*")</f>
        <v>2</v>
      </c>
      <c r="G93" s="747">
        <f t="shared" si="3"/>
        <v>0</v>
      </c>
      <c r="H93" s="168" t="s">
        <v>2351</v>
      </c>
      <c r="L93" s="36" t="s">
        <v>2363</v>
      </c>
      <c r="M93" s="744"/>
    </row>
    <row r="94" spans="2:13">
      <c r="B94" s="726" t="s">
        <v>2372</v>
      </c>
      <c r="C94" s="727">
        <v>0</v>
      </c>
      <c r="D94" s="728">
        <v>0</v>
      </c>
      <c r="E94" s="729">
        <v>0</v>
      </c>
      <c r="F94" s="168">
        <f>COUNTIF(协议类测试!A:A,"*DPC*")</f>
        <v>9</v>
      </c>
      <c r="G94" s="747">
        <f t="shared" si="3"/>
        <v>0</v>
      </c>
      <c r="H94" s="168" t="s">
        <v>2349</v>
      </c>
      <c r="L94" s="36" t="s">
        <v>2355</v>
      </c>
      <c r="M94" s="744"/>
    </row>
    <row r="95" spans="2:13">
      <c r="B95" s="726" t="s">
        <v>2373</v>
      </c>
      <c r="C95" s="727">
        <v>0</v>
      </c>
      <c r="D95" s="728">
        <v>0</v>
      </c>
      <c r="E95" s="729">
        <v>0</v>
      </c>
      <c r="F95" s="168">
        <f>COUNTIF(协议类测试!A:A,"*HP*")</f>
        <v>17</v>
      </c>
      <c r="G95" s="747">
        <f t="shared" si="3"/>
        <v>0</v>
      </c>
      <c r="H95" s="168" t="s">
        <v>2349</v>
      </c>
      <c r="L95" s="36" t="s">
        <v>2347</v>
      </c>
      <c r="M95" s="744"/>
    </row>
    <row r="96" spans="2:13">
      <c r="B96" s="726" t="s">
        <v>2374</v>
      </c>
      <c r="C96" s="727">
        <v>0</v>
      </c>
      <c r="D96" s="728">
        <v>0</v>
      </c>
      <c r="E96" s="729">
        <v>0</v>
      </c>
      <c r="F96" s="168">
        <f>COUNTIF(协议类测试!A:A,"*NPEM*")</f>
        <v>11</v>
      </c>
      <c r="G96" s="747">
        <f t="shared" si="3"/>
        <v>0</v>
      </c>
      <c r="H96" s="168" t="s">
        <v>2349</v>
      </c>
      <c r="L96" s="36"/>
      <c r="M96" s="744"/>
    </row>
    <row r="97" spans="1:7">
      <c r="B97" s="726" t="s">
        <v>2375</v>
      </c>
      <c r="C97" s="727">
        <v>0</v>
      </c>
      <c r="D97" s="728">
        <v>0</v>
      </c>
      <c r="E97" s="729">
        <v>0</v>
      </c>
      <c r="F97" s="168">
        <f>COUNTIF(协议类测试!A:A,"*GPIOMux*")</f>
        <v>0</v>
      </c>
      <c r="G97" s="747" t="e">
        <f t="shared" si="3"/>
        <v>#DIV/0!</v>
      </c>
    </row>
    <row r="98" spans="1:7">
      <c r="A98" s="723"/>
      <c r="B98" s="733" t="s">
        <v>2340</v>
      </c>
      <c r="C98" s="734">
        <f>SUM(C74:C96)</f>
        <v>0</v>
      </c>
      <c r="D98" s="734">
        <f>SUM(D74:D96)</f>
        <v>0</v>
      </c>
      <c r="E98" s="734">
        <f>SUM(E74:E96)</f>
        <v>0</v>
      </c>
      <c r="F98" s="734">
        <f>SUM(F74:F97)</f>
        <v>237</v>
      </c>
      <c r="G98" s="748">
        <f t="shared" si="3"/>
        <v>0</v>
      </c>
    </row>
  </sheetData>
  <mergeCells count="4">
    <mergeCell ref="B2:H2"/>
    <mergeCell ref="B22:H22"/>
    <mergeCell ref="B43:H43"/>
    <mergeCell ref="B72:G72"/>
  </mergeCells>
  <phoneticPr fontId="106" type="noConversion"/>
  <dataValidations count="1">
    <dataValidation type="list" showInputMessage="1" showErrorMessage="1" sqref="I3:I6" xr:uid="{00000000-0002-0000-1300-000000000000}">
      <formula1>"PASS,FAIL,NT,"</formula1>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每日进展"/>
  <dimension ref="A1:BD63"/>
  <sheetViews>
    <sheetView showGridLines="0" workbookViewId="0">
      <pane xSplit="2" topLeftCell="C1" activePane="topRight" state="frozen"/>
      <selection pane="topRight"/>
    </sheetView>
  </sheetViews>
  <sheetFormatPr defaultRowHeight="14"/>
  <cols>
    <col min="1" max="1" width="1.7265625" style="35" customWidth="1"/>
    <col min="2" max="2" width="13.81640625" style="35" customWidth="1"/>
    <col min="3" max="8" width="10" style="35" customWidth="1"/>
    <col min="9" max="17" width="9" style="35" customWidth="1"/>
    <col min="18" max="18" width="10" style="35" customWidth="1"/>
    <col min="19" max="19" width="9.81640625" style="35" customWidth="1"/>
    <col min="20" max="40" width="10" style="35" customWidth="1"/>
    <col min="41" max="41" width="11.08984375" style="35" customWidth="1"/>
    <col min="42" max="42" width="11" style="35" customWidth="1"/>
    <col min="43" max="56" width="10" style="35" customWidth="1"/>
  </cols>
  <sheetData>
    <row r="1" spans="2:56" ht="9" customHeight="1"/>
    <row r="2" spans="2:56">
      <c r="B2" s="588" t="s">
        <v>1341</v>
      </c>
      <c r="C2" s="589">
        <v>45528</v>
      </c>
      <c r="D2" s="589">
        <v>45531</v>
      </c>
      <c r="E2" s="589">
        <v>45532</v>
      </c>
      <c r="F2" s="589">
        <v>45533</v>
      </c>
      <c r="G2" s="589">
        <v>45534</v>
      </c>
      <c r="H2" s="589">
        <v>45535</v>
      </c>
      <c r="I2" s="589">
        <v>45536</v>
      </c>
      <c r="J2" s="589">
        <v>45537</v>
      </c>
      <c r="K2" s="589">
        <v>45538</v>
      </c>
      <c r="L2" s="589">
        <v>45539</v>
      </c>
      <c r="M2" s="589">
        <v>45540</v>
      </c>
      <c r="N2" s="589">
        <v>45541</v>
      </c>
      <c r="O2" s="589">
        <v>45542</v>
      </c>
      <c r="P2" s="589">
        <v>45543</v>
      </c>
      <c r="Q2" s="589">
        <v>45544</v>
      </c>
      <c r="R2" s="589">
        <v>45545</v>
      </c>
      <c r="S2" s="589">
        <v>45546</v>
      </c>
      <c r="T2" s="589">
        <v>45547</v>
      </c>
      <c r="U2" s="589">
        <v>45548</v>
      </c>
      <c r="V2" s="589">
        <v>45549</v>
      </c>
      <c r="W2" s="589">
        <v>45550</v>
      </c>
      <c r="X2" s="589">
        <v>45551</v>
      </c>
      <c r="Y2" s="589">
        <v>45552</v>
      </c>
      <c r="Z2" s="590">
        <v>45553</v>
      </c>
      <c r="AA2" s="590">
        <v>45554</v>
      </c>
      <c r="AB2" s="590">
        <v>45555</v>
      </c>
      <c r="AC2" s="590">
        <v>45556</v>
      </c>
      <c r="AD2" s="590">
        <v>45557</v>
      </c>
      <c r="AE2" s="590">
        <v>45558</v>
      </c>
      <c r="AF2" s="590">
        <v>45559</v>
      </c>
      <c r="AG2" s="590">
        <v>45560</v>
      </c>
      <c r="AH2" s="590">
        <v>45561</v>
      </c>
      <c r="AI2" s="590">
        <v>45562</v>
      </c>
      <c r="AJ2" s="590">
        <v>45563</v>
      </c>
      <c r="AK2" s="590">
        <v>45564</v>
      </c>
      <c r="AL2" s="590">
        <v>45565</v>
      </c>
      <c r="AM2" s="590">
        <v>45573</v>
      </c>
      <c r="AN2" s="590">
        <v>45574</v>
      </c>
      <c r="AO2" s="590">
        <v>45575</v>
      </c>
      <c r="AP2" s="590">
        <v>45576</v>
      </c>
      <c r="AQ2" s="591"/>
      <c r="AR2" s="591"/>
      <c r="AS2" s="591"/>
      <c r="AT2" s="591"/>
      <c r="AU2" s="591"/>
      <c r="AV2" s="591"/>
      <c r="AW2" s="591"/>
      <c r="AX2" s="591"/>
      <c r="AY2" s="591"/>
      <c r="AZ2" s="591"/>
      <c r="BA2" s="591"/>
      <c r="BB2" s="591"/>
      <c r="BC2" s="591"/>
      <c r="BD2" s="591"/>
    </row>
    <row r="3" spans="2:56">
      <c r="B3" s="230" t="s">
        <v>1342</v>
      </c>
      <c r="C3" s="592">
        <v>0</v>
      </c>
      <c r="D3" s="592">
        <v>0</v>
      </c>
      <c r="E3" s="592">
        <v>0</v>
      </c>
      <c r="F3" s="592">
        <v>0</v>
      </c>
      <c r="G3" s="592">
        <v>0</v>
      </c>
      <c r="H3" s="592">
        <v>0</v>
      </c>
      <c r="I3" s="592">
        <v>0</v>
      </c>
      <c r="J3" s="592">
        <v>0</v>
      </c>
      <c r="K3" s="592">
        <v>0</v>
      </c>
      <c r="L3" s="592">
        <v>0</v>
      </c>
      <c r="M3" s="592">
        <v>0</v>
      </c>
      <c r="N3" s="592">
        <v>0</v>
      </c>
      <c r="O3" s="592">
        <v>0</v>
      </c>
      <c r="P3" s="592">
        <v>0</v>
      </c>
      <c r="Q3" s="592">
        <v>0</v>
      </c>
      <c r="R3" s="592">
        <v>0</v>
      </c>
      <c r="S3" s="592">
        <v>0</v>
      </c>
      <c r="T3" s="592">
        <v>0</v>
      </c>
      <c r="U3" s="592">
        <v>0</v>
      </c>
      <c r="V3" s="592">
        <v>0</v>
      </c>
      <c r="W3" s="592">
        <v>0</v>
      </c>
      <c r="X3" s="592">
        <v>0</v>
      </c>
      <c r="Y3" s="592">
        <v>0</v>
      </c>
      <c r="Z3" s="592">
        <v>0</v>
      </c>
      <c r="AA3" s="592">
        <v>0</v>
      </c>
      <c r="AB3" s="592">
        <v>0</v>
      </c>
      <c r="AC3" s="592">
        <v>0</v>
      </c>
      <c r="AD3" s="592">
        <v>0</v>
      </c>
      <c r="AE3" s="592">
        <v>0</v>
      </c>
      <c r="AF3" s="592">
        <v>0</v>
      </c>
      <c r="AG3" s="592">
        <v>0</v>
      </c>
      <c r="AH3" s="592">
        <v>0</v>
      </c>
      <c r="AI3" s="592">
        <v>0</v>
      </c>
      <c r="AJ3" s="592">
        <v>0</v>
      </c>
      <c r="AK3" s="592">
        <v>0</v>
      </c>
      <c r="AL3" s="592">
        <v>0.2</v>
      </c>
      <c r="AM3" s="592">
        <v>0.2</v>
      </c>
      <c r="AN3" s="592">
        <v>0.2</v>
      </c>
      <c r="AO3" s="592">
        <v>0.2</v>
      </c>
      <c r="AP3" s="592">
        <v>0.2</v>
      </c>
      <c r="AQ3" s="593"/>
      <c r="AR3" s="593"/>
      <c r="AS3" s="593"/>
      <c r="AT3" s="593"/>
      <c r="AU3" s="593"/>
      <c r="AV3" s="593"/>
      <c r="AW3" s="593"/>
      <c r="AX3" s="593"/>
      <c r="AY3" s="593"/>
      <c r="AZ3" s="593"/>
      <c r="BA3" s="593"/>
      <c r="BB3" s="593"/>
      <c r="BC3" s="593"/>
      <c r="BD3" s="593"/>
    </row>
    <row r="4" spans="2:56">
      <c r="B4" s="230" t="s">
        <v>1343</v>
      </c>
      <c r="C4" s="592">
        <v>0</v>
      </c>
      <c r="D4" s="592">
        <v>0</v>
      </c>
      <c r="E4" s="592">
        <v>0.1525</v>
      </c>
      <c r="F4" s="592">
        <v>0.1525</v>
      </c>
      <c r="G4" s="592">
        <v>0.16950000000000001</v>
      </c>
      <c r="H4" s="592">
        <v>0.16950000000000001</v>
      </c>
      <c r="I4" s="592">
        <v>0.18640000000000001</v>
      </c>
      <c r="J4" s="592">
        <v>0.32200000000000001</v>
      </c>
      <c r="K4" s="592">
        <v>0.42370000000000002</v>
      </c>
      <c r="L4" s="592">
        <v>0.42370000000000002</v>
      </c>
      <c r="M4" s="592">
        <v>0.42370000000000002</v>
      </c>
      <c r="N4" s="592">
        <v>0.42370000000000002</v>
      </c>
      <c r="O4" s="592">
        <v>0.44069999999999998</v>
      </c>
      <c r="P4" s="592">
        <v>0.44069999999999998</v>
      </c>
      <c r="Q4" s="592">
        <v>0.45</v>
      </c>
      <c r="R4" s="592">
        <v>0.45</v>
      </c>
      <c r="S4" s="592">
        <v>0.47499999999999998</v>
      </c>
      <c r="T4" s="592">
        <v>0.51280000000000003</v>
      </c>
      <c r="U4" s="592">
        <v>0.53846153846153899</v>
      </c>
      <c r="V4" s="592">
        <v>0.53846153846153899</v>
      </c>
      <c r="W4" s="592">
        <v>0.53846153846153899</v>
      </c>
      <c r="X4" s="592">
        <v>0.53846153846153899</v>
      </c>
      <c r="Y4" s="592">
        <v>0.53846153846153899</v>
      </c>
      <c r="Z4" s="592">
        <v>0.53846153846153899</v>
      </c>
      <c r="AA4" s="592">
        <v>0.53846153846153899</v>
      </c>
      <c r="AB4" s="592">
        <v>0.53846153846153899</v>
      </c>
      <c r="AC4" s="592">
        <v>0.53849999999999998</v>
      </c>
      <c r="AD4" s="592">
        <v>0.53846153846153899</v>
      </c>
      <c r="AE4" s="592">
        <v>0.55263157894736903</v>
      </c>
      <c r="AF4" s="592">
        <v>0.55263157894736903</v>
      </c>
      <c r="AG4" s="592">
        <v>0.55263157894736903</v>
      </c>
      <c r="AH4" s="592">
        <v>0.55259999999999998</v>
      </c>
      <c r="AI4" s="592">
        <v>0.55259999999999998</v>
      </c>
      <c r="AJ4" s="592">
        <v>0.55259999999999998</v>
      </c>
      <c r="AK4" s="592">
        <v>0.55263157894736903</v>
      </c>
      <c r="AL4" s="592">
        <v>0.55263157894736903</v>
      </c>
      <c r="AM4" s="592">
        <v>0.55263157894736903</v>
      </c>
      <c r="AN4" s="592">
        <v>0.55263157894736903</v>
      </c>
      <c r="AO4" s="592">
        <v>0.55263157894736903</v>
      </c>
      <c r="AP4" s="592">
        <v>0.60526315789473695</v>
      </c>
      <c r="AQ4" s="593"/>
      <c r="AR4" s="593"/>
      <c r="AS4" s="593"/>
      <c r="AT4" s="593"/>
      <c r="AU4" s="593"/>
      <c r="AV4" s="593"/>
      <c r="AW4" s="593"/>
      <c r="AX4" s="593"/>
      <c r="AY4" s="593"/>
      <c r="AZ4" s="593"/>
      <c r="BA4" s="593"/>
      <c r="BB4" s="593"/>
      <c r="BC4" s="593"/>
      <c r="BD4" s="593"/>
    </row>
    <row r="5" spans="2:56">
      <c r="B5" s="230" t="s">
        <v>1344</v>
      </c>
      <c r="C5" s="592">
        <v>0</v>
      </c>
      <c r="D5" s="592">
        <v>0.39389999999999997</v>
      </c>
      <c r="E5" s="592">
        <v>0.45</v>
      </c>
      <c r="F5" s="592">
        <v>0.45</v>
      </c>
      <c r="G5" s="592">
        <v>0.45</v>
      </c>
      <c r="H5" s="592">
        <v>0.5333</v>
      </c>
      <c r="I5" s="592">
        <v>0.5333</v>
      </c>
      <c r="J5" s="592">
        <v>0.5333</v>
      </c>
      <c r="K5" s="592">
        <v>0.5333</v>
      </c>
      <c r="L5" s="592">
        <v>0.56669999999999998</v>
      </c>
      <c r="M5" s="592">
        <v>0.56669999999999998</v>
      </c>
      <c r="N5" s="592">
        <v>0.56669999999999998</v>
      </c>
      <c r="O5" s="592">
        <v>0.56669999999999998</v>
      </c>
      <c r="P5" s="592">
        <v>0.56669999999999998</v>
      </c>
      <c r="Q5" s="592">
        <v>0.56669999999999998</v>
      </c>
      <c r="R5" s="592">
        <v>0.63329999999999997</v>
      </c>
      <c r="S5" s="592">
        <v>0.63329999999999997</v>
      </c>
      <c r="T5" s="592">
        <v>0.63329999999999997</v>
      </c>
      <c r="U5" s="592">
        <v>0.63333333333333297</v>
      </c>
      <c r="V5" s="592">
        <v>0.63333333333333297</v>
      </c>
      <c r="W5" s="592">
        <v>0.63333333333333297</v>
      </c>
      <c r="X5" s="592">
        <v>0.63333333333333297</v>
      </c>
      <c r="Y5" s="592">
        <v>0.63333333333333297</v>
      </c>
      <c r="Z5" s="592">
        <v>0.63333333333333297</v>
      </c>
      <c r="AA5" s="592">
        <v>0.66666666666666696</v>
      </c>
      <c r="AB5" s="592">
        <v>0.66666666666666696</v>
      </c>
      <c r="AC5" s="592">
        <v>0.66669999999999996</v>
      </c>
      <c r="AD5" s="592">
        <v>0.66666666666666696</v>
      </c>
      <c r="AE5" s="592">
        <v>0.66666666666666696</v>
      </c>
      <c r="AF5" s="592">
        <v>0.66666666666666696</v>
      </c>
      <c r="AG5" s="592">
        <v>0.66666666666666696</v>
      </c>
      <c r="AH5" s="592">
        <v>0.66669999999999996</v>
      </c>
      <c r="AI5" s="592">
        <v>0.66669999999999996</v>
      </c>
      <c r="AJ5" s="592">
        <v>0.66669999999999996</v>
      </c>
      <c r="AK5" s="592">
        <v>0.66666666666666696</v>
      </c>
      <c r="AL5" s="592">
        <v>0.66666666666666696</v>
      </c>
      <c r="AM5" s="592">
        <v>0.66666666666666696</v>
      </c>
      <c r="AN5" s="592">
        <v>0.66666666666666696</v>
      </c>
      <c r="AO5" s="592">
        <v>0.66666666666666696</v>
      </c>
      <c r="AP5" s="592">
        <v>0.66666666666666696</v>
      </c>
      <c r="AQ5" s="593"/>
      <c r="AR5" s="593"/>
      <c r="AS5" s="593"/>
      <c r="AT5" s="593"/>
      <c r="AU5" s="593"/>
      <c r="AV5" s="593"/>
      <c r="AW5" s="593"/>
      <c r="AX5" s="593"/>
      <c r="AY5" s="593"/>
      <c r="AZ5" s="593"/>
      <c r="BA5" s="593"/>
      <c r="BB5" s="593"/>
      <c r="BC5" s="593"/>
      <c r="BD5" s="593"/>
    </row>
    <row r="6" spans="2:56">
      <c r="B6" s="230" t="s">
        <v>1345</v>
      </c>
      <c r="C6" s="592">
        <v>0</v>
      </c>
      <c r="D6" s="592">
        <v>0.1111</v>
      </c>
      <c r="E6" s="592">
        <v>0.1389</v>
      </c>
      <c r="F6" s="592">
        <v>0.16669999999999999</v>
      </c>
      <c r="G6" s="592">
        <v>0.2727</v>
      </c>
      <c r="H6" s="592">
        <v>0.30299999999999999</v>
      </c>
      <c r="I6" s="592">
        <v>0.33329999999999999</v>
      </c>
      <c r="J6" s="592">
        <v>0.42420000000000002</v>
      </c>
      <c r="K6" s="592">
        <v>0.42420000000000002</v>
      </c>
      <c r="L6" s="592">
        <v>0.51519999999999999</v>
      </c>
      <c r="M6" s="592">
        <v>0.54549999999999998</v>
      </c>
      <c r="N6" s="592">
        <v>0.54549999999999998</v>
      </c>
      <c r="O6" s="592">
        <v>0.54549999999999998</v>
      </c>
      <c r="P6" s="592">
        <v>0.54549999999999998</v>
      </c>
      <c r="Q6" s="592">
        <v>0.54549999999999998</v>
      </c>
      <c r="R6" s="592">
        <v>0.54549999999999998</v>
      </c>
      <c r="S6" s="592">
        <v>0.54549999999999998</v>
      </c>
      <c r="T6" s="592">
        <v>0.54549999999999998</v>
      </c>
      <c r="U6" s="592">
        <v>0.54545454545454597</v>
      </c>
      <c r="V6" s="592">
        <v>0.54545454545454597</v>
      </c>
      <c r="W6" s="592">
        <v>0.54545454545454597</v>
      </c>
      <c r="X6" s="592">
        <v>0.54545454545454597</v>
      </c>
      <c r="Y6" s="592">
        <v>0.54545454545454597</v>
      </c>
      <c r="Z6" s="592">
        <v>0.54545454545454597</v>
      </c>
      <c r="AA6" s="592">
        <v>0.57575757575757602</v>
      </c>
      <c r="AB6" s="592">
        <v>0.57575757575757602</v>
      </c>
      <c r="AC6" s="592">
        <v>0.57579999999999998</v>
      </c>
      <c r="AD6" s="592">
        <v>0.57575757575757602</v>
      </c>
      <c r="AE6" s="592">
        <v>0.57575757575757602</v>
      </c>
      <c r="AF6" s="592">
        <v>0.57575757575757602</v>
      </c>
      <c r="AG6" s="592">
        <v>0.57575757575757602</v>
      </c>
      <c r="AH6" s="592">
        <v>0.57579999999999998</v>
      </c>
      <c r="AI6" s="592">
        <v>0.57579999999999998</v>
      </c>
      <c r="AJ6" s="592">
        <v>0.57579999999999998</v>
      </c>
      <c r="AK6" s="592">
        <v>0.57575757575757602</v>
      </c>
      <c r="AL6" s="592">
        <v>0.57575757575757602</v>
      </c>
      <c r="AM6" s="592">
        <v>0.57575757575757602</v>
      </c>
      <c r="AN6" s="592">
        <v>0.57575757575757602</v>
      </c>
      <c r="AO6" s="592">
        <v>0.57575757575757602</v>
      </c>
      <c r="AP6" s="592">
        <v>0.60606060606060597</v>
      </c>
      <c r="AQ6" s="593"/>
      <c r="AR6" s="593"/>
      <c r="AS6" s="593"/>
      <c r="AT6" s="593"/>
      <c r="AU6" s="593"/>
      <c r="AV6" s="593"/>
      <c r="AW6" s="593"/>
      <c r="AX6" s="593"/>
      <c r="AY6" s="593"/>
      <c r="AZ6" s="593"/>
      <c r="BA6" s="593"/>
      <c r="BB6" s="593"/>
      <c r="BC6" s="593"/>
      <c r="BD6" s="593"/>
    </row>
    <row r="7" spans="2:56">
      <c r="B7" s="230" t="s">
        <v>1346</v>
      </c>
      <c r="C7" s="592">
        <v>0</v>
      </c>
      <c r="D7" s="592">
        <v>0</v>
      </c>
      <c r="E7" s="592">
        <v>0</v>
      </c>
      <c r="F7" s="592">
        <v>0</v>
      </c>
      <c r="G7" s="592">
        <v>0</v>
      </c>
      <c r="H7" s="592">
        <v>0</v>
      </c>
      <c r="I7" s="592">
        <v>0</v>
      </c>
      <c r="J7" s="592">
        <v>0</v>
      </c>
      <c r="K7" s="592">
        <v>0</v>
      </c>
      <c r="L7" s="592">
        <v>0</v>
      </c>
      <c r="M7" s="592">
        <v>0</v>
      </c>
      <c r="N7" s="592">
        <v>0</v>
      </c>
      <c r="O7" s="592">
        <v>0</v>
      </c>
      <c r="P7" s="592">
        <v>0</v>
      </c>
      <c r="Q7" s="592">
        <v>0</v>
      </c>
      <c r="R7" s="592">
        <v>0</v>
      </c>
      <c r="S7" s="592">
        <v>0</v>
      </c>
      <c r="T7" s="592">
        <v>0</v>
      </c>
      <c r="U7" s="592">
        <v>0</v>
      </c>
      <c r="V7" s="592">
        <v>0</v>
      </c>
      <c r="W7" s="592">
        <v>0</v>
      </c>
      <c r="X7" s="592">
        <v>0</v>
      </c>
      <c r="Y7" s="592">
        <v>0</v>
      </c>
      <c r="Z7" s="592">
        <v>0</v>
      </c>
      <c r="AA7" s="592">
        <v>0</v>
      </c>
      <c r="AB7" s="592">
        <v>0</v>
      </c>
      <c r="AC7" s="592">
        <v>0</v>
      </c>
      <c r="AD7" s="592">
        <v>0</v>
      </c>
      <c r="AE7" s="592">
        <v>0</v>
      </c>
      <c r="AF7" s="592">
        <v>0</v>
      </c>
      <c r="AG7" s="592">
        <v>0</v>
      </c>
      <c r="AH7" s="592">
        <v>0</v>
      </c>
      <c r="AI7" s="592">
        <v>0</v>
      </c>
      <c r="AJ7" s="592">
        <v>0</v>
      </c>
      <c r="AK7" s="592">
        <v>0</v>
      </c>
      <c r="AL7" s="592">
        <v>0</v>
      </c>
      <c r="AM7" s="592">
        <v>0</v>
      </c>
      <c r="AN7" s="592">
        <v>0</v>
      </c>
      <c r="AO7" s="592">
        <v>0</v>
      </c>
      <c r="AP7" s="592">
        <v>0</v>
      </c>
      <c r="AQ7" s="593"/>
      <c r="AR7" s="593"/>
      <c r="AS7" s="593"/>
      <c r="AT7" s="593"/>
      <c r="AU7" s="593"/>
      <c r="AV7" s="593"/>
      <c r="AW7" s="593"/>
      <c r="AX7" s="593"/>
      <c r="AY7" s="593"/>
      <c r="AZ7" s="593"/>
      <c r="BA7" s="593"/>
      <c r="BB7" s="593"/>
      <c r="BC7" s="593"/>
      <c r="BD7" s="593"/>
    </row>
    <row r="8" spans="2:56">
      <c r="B8" s="230" t="s">
        <v>1347</v>
      </c>
      <c r="C8" s="592">
        <v>0</v>
      </c>
      <c r="D8" s="592">
        <v>3.6299999999999999E-2</v>
      </c>
      <c r="E8" s="592">
        <v>4.0500000000000001E-2</v>
      </c>
      <c r="F8" s="592">
        <v>4.0500000000000001E-2</v>
      </c>
      <c r="G8" s="592">
        <v>7.6899999999999996E-2</v>
      </c>
      <c r="H8" s="592">
        <v>9.7900000000000001E-2</v>
      </c>
      <c r="I8" s="592">
        <v>0.1021</v>
      </c>
      <c r="J8" s="592">
        <v>0.1021</v>
      </c>
      <c r="K8" s="592">
        <v>0.1021</v>
      </c>
      <c r="L8" s="592">
        <v>0.13189999999999999</v>
      </c>
      <c r="M8" s="592">
        <v>0.161</v>
      </c>
      <c r="N8" s="592">
        <v>0.17799999999999999</v>
      </c>
      <c r="O8" s="592">
        <v>0.17799999999999999</v>
      </c>
      <c r="P8" s="592">
        <v>0.183</v>
      </c>
      <c r="Q8" s="592">
        <v>0.18640000000000001</v>
      </c>
      <c r="R8" s="592">
        <v>0.21609999999999999</v>
      </c>
      <c r="S8" s="592">
        <v>0.22550000000000001</v>
      </c>
      <c r="T8" s="592">
        <v>0.26379999999999998</v>
      </c>
      <c r="U8" s="592">
        <v>0.26382978723404299</v>
      </c>
      <c r="V8" s="592">
        <v>0.26382978723404299</v>
      </c>
      <c r="W8" s="592">
        <v>0.26382978723404299</v>
      </c>
      <c r="X8" s="592">
        <v>0.26382978723404299</v>
      </c>
      <c r="Y8" s="592">
        <v>0.26382978723404299</v>
      </c>
      <c r="Z8" s="592">
        <v>0.26382978723404299</v>
      </c>
      <c r="AA8" s="592">
        <v>0.26495726495726502</v>
      </c>
      <c r="AB8" s="592">
        <v>0.26495726495726502</v>
      </c>
      <c r="AC8" s="592">
        <v>0.26500000000000001</v>
      </c>
      <c r="AD8" s="592">
        <v>0.26495726495726502</v>
      </c>
      <c r="AE8" s="592">
        <v>0.274678111587983</v>
      </c>
      <c r="AF8" s="592">
        <v>0.274678111587983</v>
      </c>
      <c r="AG8" s="592">
        <v>0.274678111587983</v>
      </c>
      <c r="AH8" s="592">
        <v>0.2747</v>
      </c>
      <c r="AI8" s="592">
        <v>0.2747</v>
      </c>
      <c r="AJ8" s="592">
        <v>0.2747</v>
      </c>
      <c r="AK8" s="592">
        <v>0.274678111587983</v>
      </c>
      <c r="AL8" s="592">
        <v>0.274678111587983</v>
      </c>
      <c r="AM8" s="592">
        <v>0.274678111587983</v>
      </c>
      <c r="AN8" s="592">
        <v>0.28755364806867001</v>
      </c>
      <c r="AO8" s="592">
        <v>0.28755364806867001</v>
      </c>
      <c r="AP8" s="592">
        <v>0.30962343096234302</v>
      </c>
      <c r="AQ8" s="593"/>
      <c r="AR8" s="593"/>
      <c r="AS8" s="593"/>
      <c r="AT8" s="593"/>
      <c r="AU8" s="593"/>
      <c r="AV8" s="593"/>
      <c r="AW8" s="593"/>
      <c r="AX8" s="593"/>
      <c r="AY8" s="593"/>
      <c r="AZ8" s="593"/>
      <c r="BA8" s="593"/>
      <c r="BB8" s="593"/>
      <c r="BC8" s="593"/>
      <c r="BD8" s="593"/>
    </row>
    <row r="9" spans="2:56">
      <c r="B9" s="230" t="s">
        <v>1348</v>
      </c>
      <c r="C9" s="592">
        <v>0</v>
      </c>
      <c r="D9" s="592">
        <v>0</v>
      </c>
      <c r="E9" s="592">
        <v>0</v>
      </c>
      <c r="F9" s="592">
        <v>0</v>
      </c>
      <c r="G9" s="592">
        <v>0</v>
      </c>
      <c r="H9" s="592">
        <v>0</v>
      </c>
      <c r="I9" s="592">
        <v>0</v>
      </c>
      <c r="J9" s="592">
        <v>0</v>
      </c>
      <c r="K9" s="592">
        <v>0</v>
      </c>
      <c r="L9" s="592">
        <v>0</v>
      </c>
      <c r="M9" s="592">
        <v>0</v>
      </c>
      <c r="N9" s="592">
        <v>0</v>
      </c>
      <c r="O9" s="592">
        <v>0</v>
      </c>
      <c r="P9" s="592">
        <v>0</v>
      </c>
      <c r="Q9" s="592">
        <v>0</v>
      </c>
      <c r="R9" s="592">
        <v>0</v>
      </c>
      <c r="S9" s="592">
        <v>0</v>
      </c>
      <c r="T9" s="592">
        <v>0</v>
      </c>
      <c r="U9" s="592">
        <v>0</v>
      </c>
      <c r="V9" s="592">
        <v>0</v>
      </c>
      <c r="W9" s="592">
        <v>0</v>
      </c>
      <c r="X9" s="592">
        <v>0</v>
      </c>
      <c r="Y9" s="592">
        <v>0</v>
      </c>
      <c r="Z9" s="592">
        <v>0</v>
      </c>
      <c r="AA9" s="592">
        <v>0</v>
      </c>
      <c r="AB9" s="592">
        <v>0</v>
      </c>
      <c r="AC9" s="592">
        <v>0</v>
      </c>
      <c r="AD9" s="592">
        <v>0</v>
      </c>
      <c r="AE9" s="592">
        <v>0</v>
      </c>
      <c r="AF9" s="592">
        <v>0</v>
      </c>
      <c r="AG9" s="592">
        <v>0</v>
      </c>
      <c r="AH9" s="592">
        <v>0</v>
      </c>
      <c r="AI9" s="592">
        <v>0</v>
      </c>
      <c r="AJ9" s="592">
        <v>0</v>
      </c>
      <c r="AK9" s="592">
        <v>0</v>
      </c>
      <c r="AL9" s="592">
        <v>0</v>
      </c>
      <c r="AM9" s="592">
        <v>0</v>
      </c>
      <c r="AN9" s="592">
        <v>0</v>
      </c>
      <c r="AO9" s="592">
        <v>0</v>
      </c>
      <c r="AP9" s="592">
        <v>0</v>
      </c>
      <c r="AQ9" s="593"/>
      <c r="AR9" s="593"/>
      <c r="AS9" s="593"/>
      <c r="AT9" s="593"/>
      <c r="AU9" s="593"/>
      <c r="AV9" s="593"/>
      <c r="AW9" s="593"/>
      <c r="AX9" s="593"/>
      <c r="AY9" s="593"/>
      <c r="AZ9" s="593"/>
      <c r="BA9" s="593"/>
      <c r="BB9" s="593"/>
      <c r="BC9" s="593"/>
      <c r="BD9" s="593"/>
    </row>
    <row r="10" spans="2:56">
      <c r="B10" s="230" t="s">
        <v>1349</v>
      </c>
      <c r="C10" s="592">
        <v>0</v>
      </c>
      <c r="D10" s="592">
        <v>0</v>
      </c>
      <c r="E10" s="592">
        <v>0</v>
      </c>
      <c r="F10" s="592">
        <v>0</v>
      </c>
      <c r="G10" s="592">
        <v>0</v>
      </c>
      <c r="H10" s="592">
        <v>0</v>
      </c>
      <c r="I10" s="592">
        <v>0</v>
      </c>
      <c r="J10" s="592">
        <v>0</v>
      </c>
      <c r="K10" s="592">
        <v>0</v>
      </c>
      <c r="L10" s="592">
        <v>0</v>
      </c>
      <c r="M10" s="592">
        <v>0</v>
      </c>
      <c r="N10" s="592">
        <v>0</v>
      </c>
      <c r="O10" s="592">
        <v>0</v>
      </c>
      <c r="P10" s="592">
        <v>0</v>
      </c>
      <c r="Q10" s="592">
        <v>0</v>
      </c>
      <c r="R10" s="592">
        <v>0</v>
      </c>
      <c r="S10" s="592">
        <v>0</v>
      </c>
      <c r="T10" s="592">
        <v>0</v>
      </c>
      <c r="U10" s="592">
        <v>0</v>
      </c>
      <c r="V10" s="594">
        <v>0</v>
      </c>
      <c r="W10" s="592">
        <v>0</v>
      </c>
      <c r="X10" s="592">
        <v>0</v>
      </c>
      <c r="Y10" s="592">
        <v>0</v>
      </c>
      <c r="Z10" s="592">
        <v>0</v>
      </c>
      <c r="AA10" s="592">
        <v>0</v>
      </c>
      <c r="AB10" s="592">
        <v>0</v>
      </c>
      <c r="AC10" s="592">
        <v>3.3700000000000001E-2</v>
      </c>
      <c r="AD10" s="592">
        <v>3.3707865168538999E-2</v>
      </c>
      <c r="AE10" s="592">
        <v>3.3707865168538999E-2</v>
      </c>
      <c r="AF10" s="592">
        <v>0.38636363636363602</v>
      </c>
      <c r="AG10" s="592">
        <v>0.39772727272727298</v>
      </c>
      <c r="AH10" s="592">
        <v>0.3977</v>
      </c>
      <c r="AI10" s="592">
        <v>0.81820000000000004</v>
      </c>
      <c r="AJ10" s="592">
        <v>0.81820000000000004</v>
      </c>
      <c r="AK10" s="592">
        <v>0.81818181818181801</v>
      </c>
      <c r="AL10" s="592">
        <v>0.81818181818181801</v>
      </c>
      <c r="AM10" s="592">
        <v>0.81818181818181801</v>
      </c>
      <c r="AN10" s="592">
        <v>0.81818181818181801</v>
      </c>
      <c r="AO10" s="592">
        <v>0.81818181818181801</v>
      </c>
      <c r="AP10" s="592">
        <v>0.81818181818181801</v>
      </c>
      <c r="AQ10" s="593"/>
      <c r="AR10" s="593"/>
      <c r="AS10" s="593"/>
      <c r="AT10" s="593"/>
      <c r="AU10" s="593"/>
      <c r="AV10" s="593"/>
      <c r="AW10" s="593"/>
      <c r="AX10" s="593"/>
      <c r="AY10" s="593"/>
      <c r="AZ10" s="593"/>
      <c r="BA10" s="593"/>
      <c r="BB10" s="593"/>
      <c r="BC10" s="593"/>
      <c r="BD10" s="593"/>
    </row>
    <row r="11" spans="2:56">
      <c r="B11" s="230" t="s">
        <v>1350</v>
      </c>
      <c r="C11" s="592">
        <v>0</v>
      </c>
      <c r="D11" s="592">
        <v>0</v>
      </c>
      <c r="E11" s="592">
        <v>0</v>
      </c>
      <c r="F11" s="592">
        <v>0</v>
      </c>
      <c r="G11" s="592">
        <v>0</v>
      </c>
      <c r="H11" s="592">
        <v>0</v>
      </c>
      <c r="I11" s="592">
        <v>0</v>
      </c>
      <c r="J11" s="592">
        <v>0</v>
      </c>
      <c r="K11" s="592">
        <v>0</v>
      </c>
      <c r="L11" s="592">
        <v>0</v>
      </c>
      <c r="M11" s="592">
        <v>0</v>
      </c>
      <c r="N11" s="592">
        <v>0</v>
      </c>
      <c r="O11" s="592">
        <v>0</v>
      </c>
      <c r="P11" s="592">
        <v>0</v>
      </c>
      <c r="Q11" s="592">
        <v>0</v>
      </c>
      <c r="R11" s="592">
        <v>0</v>
      </c>
      <c r="S11" s="592">
        <v>0</v>
      </c>
      <c r="T11" s="592">
        <v>0</v>
      </c>
      <c r="U11" s="592">
        <v>0</v>
      </c>
      <c r="V11" s="594">
        <v>0</v>
      </c>
      <c r="W11" s="592">
        <v>0</v>
      </c>
      <c r="X11" s="592">
        <v>0</v>
      </c>
      <c r="Y11" s="592">
        <v>0</v>
      </c>
      <c r="Z11" s="592">
        <v>0</v>
      </c>
      <c r="AA11" s="592">
        <v>4.5977011494252998E-2</v>
      </c>
      <c r="AB11" s="592">
        <v>5.7471264367816001E-2</v>
      </c>
      <c r="AC11" s="592">
        <v>0.31818181818181801</v>
      </c>
      <c r="AD11" s="592">
        <v>0.31818181818181801</v>
      </c>
      <c r="AE11" s="592">
        <v>0.31818181818181801</v>
      </c>
      <c r="AF11" s="592">
        <v>0.31818181818181801</v>
      </c>
      <c r="AG11" s="592">
        <v>0.31818181818181801</v>
      </c>
      <c r="AH11" s="592">
        <v>0.33710000000000001</v>
      </c>
      <c r="AI11" s="592">
        <v>0.79779999999999995</v>
      </c>
      <c r="AJ11" s="592">
        <v>0.79779999999999995</v>
      </c>
      <c r="AK11" s="592">
        <v>0.797752808988764</v>
      </c>
      <c r="AL11" s="592">
        <v>0.797752808988764</v>
      </c>
      <c r="AM11" s="592">
        <v>0.797752808988764</v>
      </c>
      <c r="AN11" s="592">
        <v>0.797752808988764</v>
      </c>
      <c r="AO11" s="592">
        <v>0.797752808988764</v>
      </c>
      <c r="AP11" s="592">
        <v>0.797752808988764</v>
      </c>
      <c r="AQ11" s="593"/>
      <c r="AR11" s="593"/>
      <c r="AS11" s="593"/>
      <c r="AT11" s="593"/>
      <c r="AU11" s="593"/>
      <c r="AV11" s="593"/>
      <c r="AW11" s="593"/>
      <c r="AX11" s="593"/>
      <c r="AY11" s="593"/>
      <c r="AZ11" s="593"/>
      <c r="BA11" s="593"/>
      <c r="BB11" s="593"/>
      <c r="BC11" s="593"/>
      <c r="BD11" s="593"/>
    </row>
    <row r="12" spans="2:56">
      <c r="B12" s="230" t="s">
        <v>1351</v>
      </c>
      <c r="C12" s="592">
        <v>0</v>
      </c>
      <c r="D12" s="592">
        <v>0</v>
      </c>
      <c r="E12" s="592">
        <v>0</v>
      </c>
      <c r="F12" s="592">
        <v>0</v>
      </c>
      <c r="G12" s="592">
        <v>3.0999999999999999E-3</v>
      </c>
      <c r="H12" s="592">
        <v>3.0999999999999999E-3</v>
      </c>
      <c r="I12" s="592">
        <v>3.0999999999999999E-3</v>
      </c>
      <c r="J12" s="592">
        <v>3.0999999999999999E-3</v>
      </c>
      <c r="K12" s="592">
        <v>3.0999999999999999E-3</v>
      </c>
      <c r="L12" s="592">
        <v>3.0999999999999999E-3</v>
      </c>
      <c r="M12" s="592">
        <v>3.0999999999999999E-3</v>
      </c>
      <c r="N12" s="592">
        <v>3.0999999999999999E-3</v>
      </c>
      <c r="O12" s="592">
        <v>3.0999999999999999E-3</v>
      </c>
      <c r="P12" s="592">
        <v>3.0999999999999999E-3</v>
      </c>
      <c r="Q12" s="592">
        <v>3.0999999999999999E-3</v>
      </c>
      <c r="R12" s="592">
        <v>3.0999999999999999E-3</v>
      </c>
      <c r="S12" s="592">
        <v>3.0999999999999999E-3</v>
      </c>
      <c r="T12" s="592">
        <v>3.0999999999999999E-3</v>
      </c>
      <c r="U12" s="592">
        <v>3.0864197530860002E-3</v>
      </c>
      <c r="V12" s="592">
        <v>3.0864197530860002E-3</v>
      </c>
      <c r="W12" s="592">
        <v>3.0864197530860002E-3</v>
      </c>
      <c r="X12" s="592">
        <v>3.0864197530860002E-3</v>
      </c>
      <c r="Y12" s="592">
        <v>3.0864197530860002E-3</v>
      </c>
      <c r="Z12" s="592">
        <v>3.0864197530860002E-3</v>
      </c>
      <c r="AA12" s="592">
        <v>3.0864197530860002E-3</v>
      </c>
      <c r="AB12" s="592">
        <v>3.0864197530860002E-3</v>
      </c>
      <c r="AC12" s="592">
        <v>3.0999999999999999E-3</v>
      </c>
      <c r="AD12" s="592">
        <v>0.12962962962963001</v>
      </c>
      <c r="AE12" s="592">
        <v>0.12962962962963001</v>
      </c>
      <c r="AF12" s="592">
        <v>0.12962962962963001</v>
      </c>
      <c r="AG12" s="592">
        <v>0.25925925925925902</v>
      </c>
      <c r="AH12" s="592">
        <v>0.25929999999999997</v>
      </c>
      <c r="AI12" s="592">
        <v>0.25929999999999997</v>
      </c>
      <c r="AJ12" s="592">
        <v>0.25929999999999997</v>
      </c>
      <c r="AK12" s="592">
        <v>0.25925925925925902</v>
      </c>
      <c r="AL12" s="592">
        <v>0.25925925925925902</v>
      </c>
      <c r="AM12" s="592">
        <v>0.25925925925925902</v>
      </c>
      <c r="AN12" s="592">
        <v>0.25925925925925902</v>
      </c>
      <c r="AO12" s="592">
        <v>0.25925925925925902</v>
      </c>
      <c r="AP12" s="592">
        <v>0.25925925925925902</v>
      </c>
      <c r="AQ12" s="593"/>
      <c r="AR12" s="593"/>
      <c r="AS12" s="593"/>
      <c r="AT12" s="593"/>
      <c r="AU12" s="593"/>
      <c r="AV12" s="593"/>
      <c r="AW12" s="593"/>
      <c r="AX12" s="593"/>
      <c r="AY12" s="593"/>
      <c r="AZ12" s="593"/>
      <c r="BA12" s="593"/>
      <c r="BB12" s="593"/>
      <c r="BC12" s="593"/>
      <c r="BD12" s="593"/>
    </row>
    <row r="13" spans="2:56">
      <c r="B13" s="230" t="s">
        <v>1352</v>
      </c>
      <c r="C13" s="592">
        <v>0</v>
      </c>
      <c r="D13" s="592">
        <v>0.47370000000000001</v>
      </c>
      <c r="E13" s="592">
        <v>0.63160000000000005</v>
      </c>
      <c r="F13" s="592">
        <v>0.73680000000000001</v>
      </c>
      <c r="G13" s="592">
        <v>0.89470000000000005</v>
      </c>
      <c r="H13" s="592">
        <v>1</v>
      </c>
      <c r="I13" s="592">
        <v>1</v>
      </c>
      <c r="J13" s="592">
        <v>1</v>
      </c>
      <c r="K13" s="592">
        <v>1</v>
      </c>
      <c r="L13" s="592">
        <v>1</v>
      </c>
      <c r="M13" s="592">
        <v>1</v>
      </c>
      <c r="N13" s="592">
        <v>1</v>
      </c>
      <c r="O13" s="592">
        <v>1</v>
      </c>
      <c r="P13" s="592">
        <v>1</v>
      </c>
      <c r="Q13" s="592">
        <v>1</v>
      </c>
      <c r="R13" s="592">
        <v>1</v>
      </c>
      <c r="S13" s="592">
        <v>1</v>
      </c>
      <c r="T13" s="592">
        <v>1</v>
      </c>
      <c r="U13" s="592">
        <v>1</v>
      </c>
      <c r="V13" s="592">
        <v>1</v>
      </c>
      <c r="W13" s="592">
        <v>1</v>
      </c>
      <c r="X13" s="592">
        <v>1</v>
      </c>
      <c r="Y13" s="592">
        <v>1</v>
      </c>
      <c r="Z13" s="592">
        <v>1</v>
      </c>
      <c r="AA13" s="592">
        <v>1</v>
      </c>
      <c r="AB13" s="592">
        <v>1</v>
      </c>
      <c r="AC13" s="592">
        <v>1</v>
      </c>
      <c r="AD13" s="592">
        <v>1</v>
      </c>
      <c r="AE13" s="592">
        <v>1</v>
      </c>
      <c r="AF13" s="592">
        <v>1</v>
      </c>
      <c r="AG13" s="592">
        <v>1</v>
      </c>
      <c r="AH13" s="592">
        <v>1</v>
      </c>
      <c r="AI13" s="592">
        <v>1</v>
      </c>
      <c r="AJ13" s="592">
        <v>1</v>
      </c>
      <c r="AK13" s="592">
        <v>1</v>
      </c>
      <c r="AL13" s="592">
        <v>1</v>
      </c>
      <c r="AM13" s="592">
        <v>1</v>
      </c>
      <c r="AN13" s="592">
        <v>1</v>
      </c>
      <c r="AO13" s="592">
        <v>1</v>
      </c>
      <c r="AP13" s="592">
        <v>1</v>
      </c>
      <c r="AQ13" s="593"/>
      <c r="AR13" s="593"/>
      <c r="AS13" s="593"/>
      <c r="AT13" s="593"/>
      <c r="AU13" s="593"/>
      <c r="AV13" s="593"/>
      <c r="AW13" s="593"/>
      <c r="AX13" s="593"/>
      <c r="AY13" s="593"/>
      <c r="AZ13" s="593"/>
      <c r="BA13" s="593"/>
      <c r="BB13" s="593"/>
      <c r="BC13" s="593"/>
      <c r="BD13" s="593"/>
    </row>
    <row r="14" spans="2:56">
      <c r="B14" s="230" t="s">
        <v>1353</v>
      </c>
      <c r="C14" s="592">
        <v>0</v>
      </c>
      <c r="D14" s="592">
        <v>0</v>
      </c>
      <c r="E14" s="592">
        <v>0</v>
      </c>
      <c r="F14" s="592">
        <v>0</v>
      </c>
      <c r="G14" s="592">
        <v>0</v>
      </c>
      <c r="H14" s="592">
        <v>4.3999999999999997E-2</v>
      </c>
      <c r="I14" s="592">
        <v>0.1099</v>
      </c>
      <c r="J14" s="592">
        <v>0.1099</v>
      </c>
      <c r="K14" s="592">
        <v>0.1099</v>
      </c>
      <c r="L14" s="592">
        <v>0.1099</v>
      </c>
      <c r="M14" s="592">
        <v>0.1099</v>
      </c>
      <c r="N14" s="592">
        <v>0.1099</v>
      </c>
      <c r="O14" s="592">
        <v>0.1099</v>
      </c>
      <c r="P14" s="592">
        <v>0.1099</v>
      </c>
      <c r="Q14" s="592">
        <v>0.1099</v>
      </c>
      <c r="R14" s="592">
        <v>0.1099</v>
      </c>
      <c r="S14" s="592">
        <v>0.1099</v>
      </c>
      <c r="T14" s="592">
        <v>0.1099</v>
      </c>
      <c r="U14" s="592">
        <v>0.118279569892473</v>
      </c>
      <c r="V14" s="592">
        <v>0.204301075268817</v>
      </c>
      <c r="W14" s="592">
        <v>0.204301075268817</v>
      </c>
      <c r="X14" s="592">
        <v>0.204301075268817</v>
      </c>
      <c r="Y14" s="592">
        <v>0.204301075268817</v>
      </c>
      <c r="Z14" s="592">
        <v>0.225806451612903</v>
      </c>
      <c r="AA14" s="592">
        <v>0.225806451612903</v>
      </c>
      <c r="AB14" s="592">
        <v>0.225806451612903</v>
      </c>
      <c r="AC14" s="592">
        <v>0.2258</v>
      </c>
      <c r="AD14" s="592">
        <v>0.225806451612903</v>
      </c>
      <c r="AE14" s="592">
        <v>0.225806451612903</v>
      </c>
      <c r="AF14" s="592">
        <v>0.225806451612903</v>
      </c>
      <c r="AG14" s="592">
        <v>0.225806451612903</v>
      </c>
      <c r="AH14" s="592">
        <v>0.2258</v>
      </c>
      <c r="AI14" s="592">
        <v>0.2258</v>
      </c>
      <c r="AJ14" s="592">
        <v>0.2258</v>
      </c>
      <c r="AK14" s="592">
        <v>0.225806451612903</v>
      </c>
      <c r="AL14" s="592">
        <v>0.225806451612903</v>
      </c>
      <c r="AM14" s="592">
        <v>0.71428571428571397</v>
      </c>
      <c r="AN14" s="592">
        <v>0.71428571428571397</v>
      </c>
      <c r="AO14" s="592">
        <v>0.71428571428571397</v>
      </c>
      <c r="AP14" s="592">
        <v>0.73376623376623396</v>
      </c>
      <c r="AQ14" s="593"/>
      <c r="AR14" s="593"/>
      <c r="AS14" s="593"/>
      <c r="AT14" s="593"/>
      <c r="AU14" s="593"/>
      <c r="AV14" s="593"/>
      <c r="AW14" s="593"/>
      <c r="AX14" s="593"/>
      <c r="AY14" s="593"/>
      <c r="AZ14" s="593"/>
      <c r="BA14" s="593"/>
      <c r="BB14" s="593"/>
      <c r="BC14" s="593"/>
      <c r="BD14" s="593"/>
    </row>
    <row r="15" spans="2:56">
      <c r="B15" s="230" t="s">
        <v>1354</v>
      </c>
      <c r="C15" s="592">
        <v>0</v>
      </c>
      <c r="D15" s="592">
        <v>0.42420000000000002</v>
      </c>
      <c r="E15" s="592">
        <v>0.42420000000000002</v>
      </c>
      <c r="F15" s="592">
        <v>0.42420000000000002</v>
      </c>
      <c r="G15" s="592">
        <v>0.42420000000000002</v>
      </c>
      <c r="H15" s="592">
        <v>0.42420000000000002</v>
      </c>
      <c r="I15" s="592">
        <v>0.42420000000000002</v>
      </c>
      <c r="J15" s="592">
        <v>0.42420000000000002</v>
      </c>
      <c r="K15" s="592">
        <v>0.42420000000000002</v>
      </c>
      <c r="L15" s="592">
        <v>0.42420000000000002</v>
      </c>
      <c r="M15" s="592">
        <v>0.42420000000000002</v>
      </c>
      <c r="N15" s="592">
        <v>0.42420000000000002</v>
      </c>
      <c r="O15" s="592">
        <v>0.42420000000000002</v>
      </c>
      <c r="P15" s="592">
        <v>0.42420000000000002</v>
      </c>
      <c r="Q15" s="592">
        <v>0.51519999999999999</v>
      </c>
      <c r="R15" s="592">
        <v>0.51519999999999999</v>
      </c>
      <c r="S15" s="592">
        <v>0.51519999999999999</v>
      </c>
      <c r="T15" s="592">
        <v>0.51519999999999999</v>
      </c>
      <c r="U15" s="592">
        <v>0.51515151515151503</v>
      </c>
      <c r="V15" s="592">
        <v>0.51515151515151503</v>
      </c>
      <c r="W15" s="592">
        <v>0.51515151515151503</v>
      </c>
      <c r="X15" s="592">
        <v>0.51515151515151503</v>
      </c>
      <c r="Y15" s="592">
        <v>0.51515151515151503</v>
      </c>
      <c r="Z15" s="592">
        <v>0.51515151515151503</v>
      </c>
      <c r="AA15" s="592">
        <v>0.54545454545454597</v>
      </c>
      <c r="AB15" s="592">
        <v>0.54545454545454597</v>
      </c>
      <c r="AC15" s="592">
        <v>0.57579999999999998</v>
      </c>
      <c r="AD15" s="592">
        <v>0.84848484848484895</v>
      </c>
      <c r="AE15" s="592">
        <v>0.87878787878787901</v>
      </c>
      <c r="AF15" s="592">
        <v>0.87878787878787901</v>
      </c>
      <c r="AG15" s="592">
        <v>0.87878787878787901</v>
      </c>
      <c r="AH15" s="592">
        <v>0.87880000000000003</v>
      </c>
      <c r="AI15" s="592">
        <v>0.87880000000000003</v>
      </c>
      <c r="AJ15" s="592">
        <v>0.87880000000000003</v>
      </c>
      <c r="AK15" s="592">
        <v>0.87878787878787901</v>
      </c>
      <c r="AL15" s="592">
        <v>0.87878787878787901</v>
      </c>
      <c r="AM15" s="592">
        <v>0.87878787878787901</v>
      </c>
      <c r="AN15" s="592">
        <v>0.87878787878787901</v>
      </c>
      <c r="AO15" s="592">
        <v>0.87878787878787901</v>
      </c>
      <c r="AP15" s="592">
        <v>0.87878787878787901</v>
      </c>
      <c r="AQ15" s="593"/>
      <c r="AR15" s="593"/>
      <c r="AS15" s="593"/>
      <c r="AT15" s="593"/>
      <c r="AU15" s="593"/>
      <c r="AV15" s="593"/>
      <c r="AW15" s="593"/>
      <c r="AX15" s="593"/>
      <c r="AY15" s="593"/>
      <c r="AZ15" s="593"/>
      <c r="BA15" s="593"/>
      <c r="BB15" s="593"/>
      <c r="BC15" s="593"/>
      <c r="BD15" s="593"/>
    </row>
    <row r="16" spans="2:56">
      <c r="B16" s="595"/>
      <c r="C16" s="595"/>
      <c r="D16" s="595"/>
      <c r="E16" s="595"/>
      <c r="F16" s="595"/>
      <c r="G16" s="595"/>
      <c r="H16" s="595"/>
      <c r="I16" s="595"/>
      <c r="J16" s="595"/>
      <c r="K16" s="595"/>
      <c r="L16" s="595"/>
      <c r="M16" s="595"/>
      <c r="N16" s="595"/>
      <c r="O16" s="595"/>
      <c r="P16" s="595"/>
      <c r="Q16" s="595"/>
      <c r="R16" s="595"/>
      <c r="AD16" s="596"/>
    </row>
    <row r="36" spans="1:56">
      <c r="H36" s="35" t="s">
        <v>1355</v>
      </c>
    </row>
    <row r="46" spans="1:56">
      <c r="A46" s="597"/>
      <c r="B46" s="597"/>
      <c r="C46" s="597"/>
      <c r="D46" s="597"/>
      <c r="E46" s="597"/>
      <c r="F46" s="597"/>
      <c r="G46" s="597"/>
      <c r="H46" s="597"/>
      <c r="I46" s="597"/>
      <c r="J46" s="597"/>
      <c r="K46" s="597"/>
      <c r="L46" s="597"/>
      <c r="M46" s="597"/>
      <c r="N46" s="597"/>
      <c r="O46" s="597"/>
      <c r="P46" s="597"/>
      <c r="Q46" s="597"/>
      <c r="R46" s="597"/>
      <c r="S46" s="597"/>
      <c r="T46" s="597"/>
      <c r="U46" s="597"/>
      <c r="V46" s="597"/>
      <c r="W46" s="597"/>
      <c r="X46" s="597"/>
      <c r="Y46" s="597"/>
      <c r="Z46" s="597"/>
      <c r="AA46" s="597"/>
      <c r="AB46" s="597"/>
      <c r="AC46" s="597"/>
      <c r="AD46" s="597"/>
      <c r="AE46" s="597"/>
      <c r="AF46" s="597"/>
      <c r="AG46" s="597"/>
      <c r="AH46" s="597"/>
      <c r="AI46" s="597"/>
      <c r="AJ46" s="597"/>
      <c r="AK46" s="597"/>
      <c r="AL46" s="597"/>
      <c r="AM46" s="597"/>
      <c r="AN46" s="597"/>
      <c r="AO46" s="597"/>
      <c r="AP46" s="597"/>
      <c r="AQ46" s="597"/>
      <c r="AR46" s="597"/>
      <c r="AS46" s="597"/>
      <c r="AT46" s="597"/>
      <c r="AU46" s="597"/>
      <c r="AV46" s="597"/>
      <c r="AW46" s="597"/>
      <c r="AX46" s="597"/>
      <c r="AY46" s="597"/>
      <c r="AZ46" s="597"/>
    </row>
    <row r="48" spans="1:56">
      <c r="B48" s="588" t="s">
        <v>1356</v>
      </c>
      <c r="C48" s="589">
        <v>45528</v>
      </c>
      <c r="D48" s="589">
        <v>45531</v>
      </c>
      <c r="E48" s="589">
        <v>45532</v>
      </c>
      <c r="F48" s="589">
        <v>45533</v>
      </c>
      <c r="G48" s="589">
        <v>45534</v>
      </c>
      <c r="H48" s="589">
        <v>45535</v>
      </c>
      <c r="I48" s="589">
        <v>45536</v>
      </c>
      <c r="J48" s="589">
        <v>45537</v>
      </c>
      <c r="K48" s="589">
        <v>45538</v>
      </c>
      <c r="L48" s="589">
        <v>45539</v>
      </c>
      <c r="M48" s="589">
        <v>45540</v>
      </c>
      <c r="N48" s="589">
        <v>45541</v>
      </c>
      <c r="O48" s="589">
        <v>45542</v>
      </c>
      <c r="P48" s="589">
        <v>45543</v>
      </c>
      <c r="Q48" s="589">
        <v>45544</v>
      </c>
      <c r="R48" s="589">
        <v>45545</v>
      </c>
      <c r="S48" s="589">
        <v>45546</v>
      </c>
      <c r="T48" s="589">
        <v>45547</v>
      </c>
      <c r="U48" s="589">
        <v>45548</v>
      </c>
      <c r="V48" s="589">
        <v>45549</v>
      </c>
      <c r="W48" s="589">
        <v>45550</v>
      </c>
      <c r="X48" s="589">
        <v>45551</v>
      </c>
      <c r="Y48" s="589">
        <v>45552</v>
      </c>
      <c r="Z48" s="589">
        <v>45553</v>
      </c>
      <c r="AA48" s="589">
        <v>45554</v>
      </c>
      <c r="AB48" s="598">
        <v>45555</v>
      </c>
      <c r="AC48" s="598">
        <v>45556</v>
      </c>
      <c r="AD48" s="598">
        <v>45557</v>
      </c>
      <c r="AE48" s="598">
        <v>45558</v>
      </c>
      <c r="AF48" s="598">
        <v>45559</v>
      </c>
      <c r="AG48" s="598">
        <v>45560</v>
      </c>
      <c r="AH48" s="598">
        <v>45561</v>
      </c>
      <c r="AI48" s="598">
        <v>45562</v>
      </c>
      <c r="AJ48" s="598">
        <v>45563</v>
      </c>
      <c r="AK48" s="598">
        <v>45564</v>
      </c>
      <c r="AL48" s="598">
        <v>45565</v>
      </c>
      <c r="AM48" s="598">
        <v>45573</v>
      </c>
      <c r="AN48" s="598">
        <v>45574</v>
      </c>
      <c r="AO48" s="598">
        <v>45575</v>
      </c>
      <c r="AP48" s="598">
        <v>45576</v>
      </c>
      <c r="AQ48" s="599"/>
      <c r="AR48" s="599"/>
      <c r="AS48" s="599"/>
      <c r="AT48" s="599"/>
      <c r="AU48" s="599"/>
      <c r="AV48" s="599"/>
      <c r="AW48" s="599"/>
      <c r="AX48" s="599"/>
      <c r="AY48" s="599"/>
      <c r="AZ48" s="599"/>
      <c r="BA48" s="599"/>
      <c r="BB48" s="599"/>
      <c r="BC48" s="599"/>
      <c r="BD48" s="599"/>
    </row>
    <row r="49" spans="2:56">
      <c r="B49" s="230" t="s">
        <v>1342</v>
      </c>
      <c r="C49" s="592">
        <v>0</v>
      </c>
      <c r="D49" s="592">
        <v>0</v>
      </c>
      <c r="E49" s="592">
        <v>6.25E-2</v>
      </c>
      <c r="F49" s="592">
        <v>6.25E-2</v>
      </c>
      <c r="G49" s="592">
        <v>6.25E-2</v>
      </c>
      <c r="H49" s="592">
        <v>6.25E-2</v>
      </c>
      <c r="I49" s="592">
        <v>6.25E-2</v>
      </c>
      <c r="J49" s="592">
        <v>6.25E-2</v>
      </c>
      <c r="K49" s="592">
        <v>6.25E-2</v>
      </c>
      <c r="L49" s="592">
        <v>6.25E-2</v>
      </c>
      <c r="M49" s="592">
        <v>6.25E-2</v>
      </c>
      <c r="N49" s="592">
        <v>6.25E-2</v>
      </c>
      <c r="O49" s="592">
        <v>6.25E-2</v>
      </c>
      <c r="P49" s="592">
        <v>6.25E-2</v>
      </c>
      <c r="Q49" s="592">
        <v>6.25E-2</v>
      </c>
      <c r="R49" s="592">
        <v>6.25E-2</v>
      </c>
      <c r="S49" s="592">
        <v>6.25E-2</v>
      </c>
      <c r="T49" s="592">
        <v>6.25E-2</v>
      </c>
      <c r="U49" s="592">
        <v>6.25E-2</v>
      </c>
      <c r="V49" s="592">
        <v>6.25E-2</v>
      </c>
      <c r="W49" s="592">
        <v>6.25E-2</v>
      </c>
      <c r="X49" s="592">
        <v>6.25E-2</v>
      </c>
      <c r="Y49" s="592">
        <v>6.25E-2</v>
      </c>
      <c r="Z49" s="592">
        <v>6.25E-2</v>
      </c>
      <c r="AA49" s="592">
        <v>6.25E-2</v>
      </c>
      <c r="AB49" s="592">
        <v>6.25E-2</v>
      </c>
      <c r="AC49" s="592">
        <v>6.25E-2</v>
      </c>
      <c r="AD49" s="592">
        <v>6.25E-2</v>
      </c>
      <c r="AE49" s="592">
        <v>6.25E-2</v>
      </c>
      <c r="AF49" s="592">
        <v>6.25E-2</v>
      </c>
      <c r="AG49" s="592">
        <v>6.25E-2</v>
      </c>
      <c r="AH49" s="592">
        <v>6.25E-2</v>
      </c>
      <c r="AI49" s="592">
        <v>6.25E-2</v>
      </c>
      <c r="AJ49" s="592">
        <v>6.25E-2</v>
      </c>
      <c r="AK49" s="592">
        <v>6.25E-2</v>
      </c>
      <c r="AL49" s="592">
        <v>0.4</v>
      </c>
      <c r="AM49" s="592">
        <v>0.4</v>
      </c>
      <c r="AN49" s="592">
        <v>0.4</v>
      </c>
      <c r="AO49" s="592">
        <v>0.4</v>
      </c>
      <c r="AP49" s="592">
        <v>0.4</v>
      </c>
      <c r="AQ49" s="593"/>
      <c r="AR49" s="593"/>
      <c r="AS49" s="593"/>
      <c r="AT49" s="593"/>
      <c r="AU49" s="593"/>
      <c r="AV49" s="593"/>
      <c r="AW49" s="593"/>
      <c r="AX49" s="593"/>
      <c r="AY49" s="593"/>
      <c r="AZ49" s="593"/>
      <c r="BA49" s="593"/>
      <c r="BB49" s="593"/>
      <c r="BC49" s="593"/>
      <c r="BD49" s="593"/>
    </row>
    <row r="50" spans="2:56">
      <c r="B50" s="230" t="s">
        <v>1343</v>
      </c>
      <c r="C50" s="592">
        <v>0</v>
      </c>
      <c r="D50" s="592">
        <v>0</v>
      </c>
      <c r="E50" s="592">
        <v>0.18640000000000001</v>
      </c>
      <c r="F50" s="592">
        <v>0.22033898305084701</v>
      </c>
      <c r="G50" s="592">
        <v>0.23728813559322001</v>
      </c>
      <c r="H50" s="592">
        <v>0.23730000000000001</v>
      </c>
      <c r="I50" s="592">
        <v>0.25423728813559299</v>
      </c>
      <c r="J50" s="592">
        <v>0.37288135593220301</v>
      </c>
      <c r="K50" s="592">
        <v>0.47457627118644102</v>
      </c>
      <c r="L50" s="592">
        <v>0.47457627118644102</v>
      </c>
      <c r="M50" s="592">
        <v>0.47457627118644102</v>
      </c>
      <c r="N50" s="592">
        <v>0.47457627118644102</v>
      </c>
      <c r="O50" s="592">
        <v>0.47457627118644102</v>
      </c>
      <c r="P50" s="592">
        <v>0.49541278</v>
      </c>
      <c r="Q50" s="592">
        <v>0.52500000000000002</v>
      </c>
      <c r="R50" s="592">
        <v>0.52500000000000002</v>
      </c>
      <c r="S50" s="592">
        <v>0.52500000000000002</v>
      </c>
      <c r="T50" s="592">
        <v>0.56410256410256399</v>
      </c>
      <c r="U50" s="592">
        <v>0.58974358974358998</v>
      </c>
      <c r="V50" s="592">
        <v>0.58974358974358998</v>
      </c>
      <c r="W50" s="592">
        <v>0.58974358974358998</v>
      </c>
      <c r="X50" s="592">
        <v>0.58974358974358998</v>
      </c>
      <c r="Y50" s="592">
        <v>0.58974358974358998</v>
      </c>
      <c r="Z50" s="592">
        <v>0.58974358974358998</v>
      </c>
      <c r="AA50" s="592">
        <v>0.58974358974358998</v>
      </c>
      <c r="AB50" s="592">
        <v>0.5897</v>
      </c>
      <c r="AC50" s="592">
        <v>0.5897</v>
      </c>
      <c r="AD50" s="592">
        <v>0.58974358974358998</v>
      </c>
      <c r="AE50" s="592">
        <v>0.60526315789473695</v>
      </c>
      <c r="AF50" s="592">
        <v>0.60526315789473695</v>
      </c>
      <c r="AG50" s="592">
        <v>0.60526315789473695</v>
      </c>
      <c r="AH50" s="592">
        <v>0.60529999999999995</v>
      </c>
      <c r="AI50" s="592">
        <v>0.60529999999999995</v>
      </c>
      <c r="AJ50" s="592">
        <v>0.60529999999999995</v>
      </c>
      <c r="AK50" s="592">
        <v>0.60526315789473695</v>
      </c>
      <c r="AL50" s="592">
        <v>0.60526315789473695</v>
      </c>
      <c r="AM50" s="592">
        <v>0.60526315789473695</v>
      </c>
      <c r="AN50" s="592">
        <v>0.60526315789473695</v>
      </c>
      <c r="AO50" s="592">
        <v>0.60526315789473695</v>
      </c>
      <c r="AP50" s="592">
        <v>0.60526315789473695</v>
      </c>
      <c r="AQ50" s="593"/>
      <c r="AR50" s="593"/>
      <c r="AS50" s="593"/>
      <c r="AT50" s="593"/>
      <c r="AU50" s="593"/>
      <c r="AV50" s="593"/>
      <c r="AW50" s="593"/>
      <c r="AX50" s="593"/>
      <c r="AY50" s="593"/>
      <c r="AZ50" s="593"/>
      <c r="BA50" s="593"/>
      <c r="BB50" s="593"/>
      <c r="BC50" s="593"/>
      <c r="BD50" s="593"/>
    </row>
    <row r="51" spans="2:56">
      <c r="B51" s="230" t="s">
        <v>1344</v>
      </c>
      <c r="C51" s="592">
        <v>0</v>
      </c>
      <c r="D51" s="592">
        <v>0.39389999999999997</v>
      </c>
      <c r="E51" s="592">
        <v>0.45</v>
      </c>
      <c r="F51" s="592">
        <v>0.45</v>
      </c>
      <c r="G51" s="592">
        <v>0.45454545454545497</v>
      </c>
      <c r="H51" s="592">
        <v>0.5333</v>
      </c>
      <c r="I51" s="592">
        <v>0.53333333333333299</v>
      </c>
      <c r="J51" s="592">
        <v>0.53333333333333299</v>
      </c>
      <c r="K51" s="592">
        <v>0.53333333333333299</v>
      </c>
      <c r="L51" s="592">
        <v>0.56666666666666698</v>
      </c>
      <c r="M51" s="592">
        <v>0.56666666666666698</v>
      </c>
      <c r="N51" s="592">
        <v>0.56666666666666698</v>
      </c>
      <c r="O51" s="592">
        <v>0.56666666666666698</v>
      </c>
      <c r="P51" s="592">
        <v>0.56666666666666698</v>
      </c>
      <c r="Q51" s="592">
        <v>0.56666666666666698</v>
      </c>
      <c r="R51" s="592">
        <v>0.63333333333333297</v>
      </c>
      <c r="S51" s="592">
        <v>0.63333333333333297</v>
      </c>
      <c r="T51" s="592">
        <v>0.63333333333333297</v>
      </c>
      <c r="U51" s="592">
        <v>0.63333333333333297</v>
      </c>
      <c r="V51" s="592">
        <v>0.63333333333333297</v>
      </c>
      <c r="W51" s="592">
        <v>0.63333333333333297</v>
      </c>
      <c r="X51" s="592">
        <v>0.63333333333333297</v>
      </c>
      <c r="Y51" s="592">
        <v>0.63333333333333297</v>
      </c>
      <c r="Z51" s="592">
        <v>0.63333333333333297</v>
      </c>
      <c r="AA51" s="592">
        <v>0.66666666666666696</v>
      </c>
      <c r="AB51" s="592">
        <v>0.66669999999999996</v>
      </c>
      <c r="AC51" s="592">
        <v>0.66669999999999996</v>
      </c>
      <c r="AD51" s="592">
        <v>0.66666666666666696</v>
      </c>
      <c r="AE51" s="592">
        <v>0.66666666666666696</v>
      </c>
      <c r="AF51" s="592">
        <v>0.66666666666666696</v>
      </c>
      <c r="AG51" s="592">
        <v>0.66666666666666696</v>
      </c>
      <c r="AH51" s="592">
        <v>0.66669999999999996</v>
      </c>
      <c r="AI51" s="592">
        <v>0.66669999999999996</v>
      </c>
      <c r="AJ51" s="592">
        <v>0.66669999999999996</v>
      </c>
      <c r="AK51" s="592">
        <v>0.66666666666666696</v>
      </c>
      <c r="AL51" s="592">
        <v>0.66666666666666696</v>
      </c>
      <c r="AM51" s="592">
        <v>0.66666666666666696</v>
      </c>
      <c r="AN51" s="592">
        <v>0.66666666666666696</v>
      </c>
      <c r="AO51" s="592">
        <v>0.66666666666666696</v>
      </c>
      <c r="AP51" s="592">
        <v>0.66666666666666696</v>
      </c>
      <c r="AQ51" s="593"/>
      <c r="AR51" s="593"/>
      <c r="AS51" s="593"/>
      <c r="AT51" s="593"/>
      <c r="AU51" s="593"/>
      <c r="AV51" s="593"/>
      <c r="AW51" s="593"/>
      <c r="AX51" s="593"/>
      <c r="AY51" s="593"/>
      <c r="AZ51" s="593"/>
      <c r="BA51" s="593"/>
      <c r="BB51" s="593"/>
      <c r="BC51" s="593"/>
      <c r="BD51" s="593"/>
    </row>
    <row r="52" spans="2:56">
      <c r="B52" s="230" t="s">
        <v>1345</v>
      </c>
      <c r="C52" s="592">
        <v>0</v>
      </c>
      <c r="D52" s="592">
        <v>0.1389</v>
      </c>
      <c r="E52" s="592">
        <v>0.16669999999999999</v>
      </c>
      <c r="F52" s="592">
        <v>0.38888888888888901</v>
      </c>
      <c r="G52" s="592">
        <v>0.54545454545454597</v>
      </c>
      <c r="H52" s="592">
        <v>0.60606060606060597</v>
      </c>
      <c r="I52" s="592">
        <v>0.63636363636363702</v>
      </c>
      <c r="J52" s="592">
        <v>0.69696969696969702</v>
      </c>
      <c r="K52" s="592">
        <v>0.69696969696969702</v>
      </c>
      <c r="L52" s="592">
        <v>0.69696969696969702</v>
      </c>
      <c r="M52" s="592">
        <v>0.69696969696969702</v>
      </c>
      <c r="N52" s="592">
        <v>0.69696969696969702</v>
      </c>
      <c r="O52" s="592">
        <v>0.69696969696969702</v>
      </c>
      <c r="P52" s="592">
        <v>0.69696969696969702</v>
      </c>
      <c r="Q52" s="592">
        <v>0.69696969696969702</v>
      </c>
      <c r="R52" s="592">
        <v>0.69696969696969702</v>
      </c>
      <c r="S52" s="592">
        <v>0.69696969696969702</v>
      </c>
      <c r="T52" s="592">
        <v>0.69696969696969702</v>
      </c>
      <c r="U52" s="592">
        <v>0.69696969696969702</v>
      </c>
      <c r="V52" s="592">
        <v>0.69696969696969702</v>
      </c>
      <c r="W52" s="592">
        <v>0.69696969696969702</v>
      </c>
      <c r="X52" s="592">
        <v>0.69696969696969702</v>
      </c>
      <c r="Y52" s="592">
        <v>0.69696969696969702</v>
      </c>
      <c r="Z52" s="592">
        <v>0.69696969696969702</v>
      </c>
      <c r="AA52" s="592">
        <v>0.72727272727272696</v>
      </c>
      <c r="AB52" s="592">
        <v>0.72729999999999995</v>
      </c>
      <c r="AC52" s="592">
        <v>0.72729999999999995</v>
      </c>
      <c r="AD52" s="592">
        <v>0.72727272727272696</v>
      </c>
      <c r="AE52" s="592">
        <v>0.72727272727272696</v>
      </c>
      <c r="AF52" s="592">
        <v>0.72727272727272696</v>
      </c>
      <c r="AG52" s="592">
        <v>0.72727272727272696</v>
      </c>
      <c r="AH52" s="592">
        <v>0.72729999999999995</v>
      </c>
      <c r="AI52" s="592">
        <v>0.72729999999999995</v>
      </c>
      <c r="AJ52" s="592">
        <v>0.72729999999999995</v>
      </c>
      <c r="AK52" s="592">
        <v>0.72727272727272696</v>
      </c>
      <c r="AL52" s="592">
        <v>0.72727272727272696</v>
      </c>
      <c r="AM52" s="592">
        <v>0.72727272727272696</v>
      </c>
      <c r="AN52" s="592">
        <v>0.72727272727272696</v>
      </c>
      <c r="AO52" s="592">
        <v>0.72727272727272696</v>
      </c>
      <c r="AP52" s="592">
        <v>0.72727272727272696</v>
      </c>
      <c r="AQ52" s="593"/>
      <c r="AR52" s="593"/>
      <c r="AS52" s="593"/>
      <c r="AT52" s="593"/>
      <c r="AU52" s="593"/>
      <c r="AV52" s="593"/>
      <c r="AW52" s="593"/>
      <c r="AX52" s="593"/>
      <c r="AY52" s="593"/>
      <c r="AZ52" s="593"/>
      <c r="BA52" s="593"/>
      <c r="BB52" s="593"/>
      <c r="BC52" s="593"/>
      <c r="BD52" s="593"/>
    </row>
    <row r="53" spans="2:56">
      <c r="B53" s="230" t="s">
        <v>1346</v>
      </c>
      <c r="C53" s="592">
        <v>0</v>
      </c>
      <c r="D53" s="592">
        <v>0</v>
      </c>
      <c r="E53" s="592">
        <v>0</v>
      </c>
      <c r="F53" s="592">
        <v>0</v>
      </c>
      <c r="G53" s="592">
        <v>0</v>
      </c>
      <c r="H53" s="592">
        <v>0</v>
      </c>
      <c r="I53" s="592">
        <v>0</v>
      </c>
      <c r="J53" s="592">
        <v>0</v>
      </c>
      <c r="K53" s="592">
        <v>0</v>
      </c>
      <c r="L53" s="592">
        <v>0</v>
      </c>
      <c r="M53" s="592">
        <v>0</v>
      </c>
      <c r="N53" s="592">
        <v>0</v>
      </c>
      <c r="O53" s="592">
        <v>0</v>
      </c>
      <c r="P53" s="592">
        <v>0</v>
      </c>
      <c r="Q53" s="592">
        <v>0</v>
      </c>
      <c r="R53" s="592">
        <v>0</v>
      </c>
      <c r="S53" s="592">
        <v>0</v>
      </c>
      <c r="T53" s="592">
        <v>0</v>
      </c>
      <c r="U53" s="592">
        <v>0</v>
      </c>
      <c r="V53" s="592">
        <v>0</v>
      </c>
      <c r="W53" s="592">
        <v>0</v>
      </c>
      <c r="X53" s="592">
        <v>0</v>
      </c>
      <c r="Y53" s="592">
        <v>0</v>
      </c>
      <c r="Z53" s="592">
        <v>0</v>
      </c>
      <c r="AA53" s="592">
        <v>0</v>
      </c>
      <c r="AB53" s="592">
        <v>0</v>
      </c>
      <c r="AC53" s="592">
        <v>0</v>
      </c>
      <c r="AD53" s="592">
        <v>0</v>
      </c>
      <c r="AE53" s="592">
        <v>0</v>
      </c>
      <c r="AF53" s="592">
        <v>0</v>
      </c>
      <c r="AG53" s="592">
        <v>0</v>
      </c>
      <c r="AH53" s="592">
        <v>0</v>
      </c>
      <c r="AI53" s="592">
        <v>0</v>
      </c>
      <c r="AJ53" s="592">
        <v>0</v>
      </c>
      <c r="AK53" s="592">
        <v>0</v>
      </c>
      <c r="AL53" s="592">
        <v>0</v>
      </c>
      <c r="AM53" s="592">
        <v>0</v>
      </c>
      <c r="AN53" s="592">
        <v>0</v>
      </c>
      <c r="AO53" s="592">
        <v>0</v>
      </c>
      <c r="AP53" s="592">
        <v>0</v>
      </c>
      <c r="AQ53" s="593"/>
      <c r="AR53" s="593"/>
      <c r="AS53" s="593"/>
      <c r="AT53" s="593"/>
      <c r="AU53" s="593"/>
      <c r="AV53" s="593"/>
      <c r="AW53" s="593"/>
      <c r="AX53" s="593"/>
      <c r="AY53" s="593"/>
      <c r="AZ53" s="593"/>
      <c r="BA53" s="593"/>
      <c r="BB53" s="593"/>
      <c r="BC53" s="593"/>
      <c r="BD53" s="593"/>
    </row>
    <row r="54" spans="2:56">
      <c r="B54" s="230" t="s">
        <v>1347</v>
      </c>
      <c r="C54" s="592">
        <v>0</v>
      </c>
      <c r="D54" s="592">
        <v>3.85E-2</v>
      </c>
      <c r="E54" s="592">
        <v>4.8599999999999997E-2</v>
      </c>
      <c r="F54" s="592">
        <v>4.8582995951416998E-2</v>
      </c>
      <c r="G54" s="592">
        <v>9.3117408906882998E-2</v>
      </c>
      <c r="H54" s="592">
        <v>0.1149</v>
      </c>
      <c r="I54" s="592">
        <v>0.114893617021277</v>
      </c>
      <c r="J54" s="592">
        <v>0.114893617021277</v>
      </c>
      <c r="K54" s="592">
        <v>0.11914893617021299</v>
      </c>
      <c r="L54" s="592">
        <v>0.14893617021276601</v>
      </c>
      <c r="M54" s="592">
        <v>0.177966101694915</v>
      </c>
      <c r="N54" s="592">
        <v>0.18654699999999999</v>
      </c>
      <c r="O54" s="592">
        <v>0.194915254237288</v>
      </c>
      <c r="P54" s="592">
        <v>0.19850000000000001</v>
      </c>
      <c r="Q54" s="592">
        <v>0.20338983050847501</v>
      </c>
      <c r="R54" s="592">
        <v>0.233050847457627</v>
      </c>
      <c r="S54" s="592">
        <v>0.268085106382979</v>
      </c>
      <c r="T54" s="592">
        <v>0.32765957446808502</v>
      </c>
      <c r="U54" s="592">
        <v>0.32765957446808502</v>
      </c>
      <c r="V54" s="592">
        <v>0.32765957446808502</v>
      </c>
      <c r="W54" s="592">
        <v>0.32765957446808502</v>
      </c>
      <c r="X54" s="592">
        <v>0.32765957446808502</v>
      </c>
      <c r="Y54" s="592">
        <v>0.32765957446808502</v>
      </c>
      <c r="Z54" s="592">
        <v>0.32765957446808502</v>
      </c>
      <c r="AA54" s="592">
        <v>0.33333333333333298</v>
      </c>
      <c r="AB54" s="592">
        <v>0.33329999999999999</v>
      </c>
      <c r="AC54" s="592">
        <v>0.33329999999999999</v>
      </c>
      <c r="AD54" s="592">
        <v>0.33333333333333298</v>
      </c>
      <c r="AE54" s="592">
        <v>0.34334763948497898</v>
      </c>
      <c r="AF54" s="592">
        <v>0.34334763948497898</v>
      </c>
      <c r="AG54" s="592">
        <v>0.34334763948497898</v>
      </c>
      <c r="AH54" s="592">
        <v>0.34329999999999999</v>
      </c>
      <c r="AI54" s="592">
        <v>0.34329999999999999</v>
      </c>
      <c r="AJ54" s="592">
        <v>0.34329999999999999</v>
      </c>
      <c r="AK54" s="592">
        <v>0.34334763948497898</v>
      </c>
      <c r="AL54" s="592">
        <v>0.34763948497854102</v>
      </c>
      <c r="AM54" s="592">
        <v>0.34763948497854102</v>
      </c>
      <c r="AN54" s="592">
        <v>0.36051502145922798</v>
      </c>
      <c r="AO54" s="592">
        <v>0.36051502145922798</v>
      </c>
      <c r="AP54" s="592">
        <v>0.40585774058577401</v>
      </c>
      <c r="AQ54" s="593"/>
      <c r="AR54" s="593"/>
      <c r="AS54" s="593"/>
      <c r="AT54" s="593"/>
      <c r="AU54" s="593"/>
      <c r="AV54" s="593"/>
      <c r="AW54" s="593"/>
      <c r="AX54" s="593"/>
      <c r="AY54" s="593"/>
      <c r="AZ54" s="593"/>
      <c r="BA54" s="593"/>
      <c r="BB54" s="593"/>
      <c r="BC54" s="593"/>
      <c r="BD54" s="593"/>
    </row>
    <row r="55" spans="2:56">
      <c r="B55" s="230" t="s">
        <v>1348</v>
      </c>
      <c r="C55" s="592">
        <v>0</v>
      </c>
      <c r="D55" s="592">
        <v>0</v>
      </c>
      <c r="E55" s="592">
        <v>0</v>
      </c>
      <c r="F55" s="592">
        <v>0</v>
      </c>
      <c r="G55" s="592">
        <v>0</v>
      </c>
      <c r="H55" s="592">
        <v>0</v>
      </c>
      <c r="I55" s="592">
        <v>0</v>
      </c>
      <c r="J55" s="592">
        <v>0</v>
      </c>
      <c r="K55" s="592">
        <v>0</v>
      </c>
      <c r="L55" s="592">
        <v>0</v>
      </c>
      <c r="M55" s="592">
        <v>0</v>
      </c>
      <c r="N55" s="592">
        <v>0</v>
      </c>
      <c r="O55" s="592">
        <v>0</v>
      </c>
      <c r="P55" s="592">
        <v>0</v>
      </c>
      <c r="Q55" s="592">
        <v>0</v>
      </c>
      <c r="R55" s="592">
        <v>0</v>
      </c>
      <c r="S55" s="592">
        <v>0</v>
      </c>
      <c r="T55" s="592">
        <v>0</v>
      </c>
      <c r="U55" s="592">
        <v>0</v>
      </c>
      <c r="V55" s="592">
        <v>0</v>
      </c>
      <c r="W55" s="592">
        <v>0</v>
      </c>
      <c r="X55" s="592">
        <v>0</v>
      </c>
      <c r="Y55" s="592">
        <v>0</v>
      </c>
      <c r="Z55" s="592">
        <v>0</v>
      </c>
      <c r="AA55" s="592">
        <v>0</v>
      </c>
      <c r="AB55" s="592">
        <v>0</v>
      </c>
      <c r="AC55" s="592">
        <v>0</v>
      </c>
      <c r="AD55" s="592">
        <v>0</v>
      </c>
      <c r="AE55" s="592">
        <v>0</v>
      </c>
      <c r="AF55" s="592">
        <v>0</v>
      </c>
      <c r="AG55" s="592">
        <v>0</v>
      </c>
      <c r="AH55" s="592">
        <v>0</v>
      </c>
      <c r="AI55" s="592">
        <v>0</v>
      </c>
      <c r="AJ55" s="592">
        <v>0</v>
      </c>
      <c r="AK55" s="592">
        <v>0</v>
      </c>
      <c r="AL55" s="592">
        <v>0</v>
      </c>
      <c r="AM55" s="592">
        <v>0</v>
      </c>
      <c r="AN55" s="592">
        <v>0</v>
      </c>
      <c r="AO55" s="592">
        <v>0</v>
      </c>
      <c r="AP55" s="592">
        <v>0</v>
      </c>
      <c r="AQ55" s="593"/>
      <c r="AR55" s="593"/>
      <c r="AS55" s="593"/>
      <c r="AT55" s="593"/>
      <c r="AU55" s="593"/>
      <c r="AV55" s="593"/>
      <c r="AW55" s="593"/>
      <c r="AX55" s="593"/>
      <c r="AY55" s="593"/>
      <c r="AZ55" s="593"/>
      <c r="BA55" s="593"/>
      <c r="BB55" s="593"/>
      <c r="BC55" s="593"/>
      <c r="BD55" s="593"/>
    </row>
    <row r="56" spans="2:56">
      <c r="B56" s="230" t="s">
        <v>1349</v>
      </c>
      <c r="C56" s="592">
        <v>0</v>
      </c>
      <c r="D56" s="592">
        <v>0</v>
      </c>
      <c r="E56" s="592">
        <v>0</v>
      </c>
      <c r="F56" s="592">
        <v>0</v>
      </c>
      <c r="G56" s="592">
        <v>0</v>
      </c>
      <c r="H56" s="592">
        <v>1.12E-2</v>
      </c>
      <c r="I56" s="592">
        <v>1.123595505618E-2</v>
      </c>
      <c r="J56" s="592">
        <v>1.123595505618E-2</v>
      </c>
      <c r="K56" s="592">
        <v>1.123595505618E-2</v>
      </c>
      <c r="L56" s="592">
        <v>1.123595505618E-2</v>
      </c>
      <c r="M56" s="592">
        <v>1.123595505618E-2</v>
      </c>
      <c r="N56" s="592">
        <v>1.123595505618E-2</v>
      </c>
      <c r="O56" s="592">
        <v>1.123595505618E-2</v>
      </c>
      <c r="P56" s="592">
        <v>1.123595505618E-2</v>
      </c>
      <c r="Q56" s="592">
        <v>1.123595505618E-2</v>
      </c>
      <c r="R56" s="592">
        <v>1.123595505618E-2</v>
      </c>
      <c r="S56" s="592">
        <v>1.123595505618E-2</v>
      </c>
      <c r="T56" s="592">
        <v>1.123595505618E-2</v>
      </c>
      <c r="U56" s="592">
        <v>1.123595505618E-2</v>
      </c>
      <c r="V56" s="592">
        <v>1.123595505618E-2</v>
      </c>
      <c r="W56" s="592">
        <v>1.123595505618E-2</v>
      </c>
      <c r="X56" s="592">
        <v>1.123595505618E-2</v>
      </c>
      <c r="Y56" s="592">
        <v>1.123595505618E-2</v>
      </c>
      <c r="Z56" s="592">
        <v>1.123595505618E-2</v>
      </c>
      <c r="AA56" s="592">
        <v>1.123595505618E-2</v>
      </c>
      <c r="AB56" s="592">
        <v>5.62E-2</v>
      </c>
      <c r="AC56" s="592">
        <v>5.62E-2</v>
      </c>
      <c r="AD56" s="592">
        <v>5.6179775280899E-2</v>
      </c>
      <c r="AE56" s="592">
        <v>5.6179775280899E-2</v>
      </c>
      <c r="AF56" s="592">
        <v>0.51136363636363602</v>
      </c>
      <c r="AG56" s="592">
        <v>0.54545454545454597</v>
      </c>
      <c r="AH56" s="592">
        <v>0.94318181818181801</v>
      </c>
      <c r="AI56" s="592">
        <v>0.94318181818181801</v>
      </c>
      <c r="AJ56" s="592">
        <v>0.94318181818181801</v>
      </c>
      <c r="AK56" s="592">
        <v>0.94318181818181801</v>
      </c>
      <c r="AL56" s="592">
        <v>0.94318181818181801</v>
      </c>
      <c r="AM56" s="592">
        <v>0.94318181818181801</v>
      </c>
      <c r="AN56" s="592">
        <v>0.94318181818181801</v>
      </c>
      <c r="AO56" s="592">
        <v>0.94318181818181801</v>
      </c>
      <c r="AP56" s="592">
        <v>0.94318181818181801</v>
      </c>
      <c r="AQ56" s="593"/>
      <c r="AR56" s="593"/>
      <c r="AS56" s="593"/>
      <c r="AT56" s="593"/>
      <c r="AU56" s="593"/>
      <c r="AV56" s="593"/>
      <c r="AW56" s="593"/>
      <c r="AX56" s="593"/>
      <c r="AY56" s="593"/>
      <c r="AZ56" s="593"/>
      <c r="BA56" s="593"/>
      <c r="BB56" s="593"/>
      <c r="BC56" s="593"/>
      <c r="BD56" s="593"/>
    </row>
    <row r="57" spans="2:56">
      <c r="B57" s="230" t="s">
        <v>1350</v>
      </c>
      <c r="C57" s="592">
        <v>0</v>
      </c>
      <c r="D57" s="592">
        <v>0</v>
      </c>
      <c r="E57" s="592">
        <v>0</v>
      </c>
      <c r="F57" s="592">
        <v>1.1494252873563E-2</v>
      </c>
      <c r="G57" s="592">
        <v>1.1494252873563E-2</v>
      </c>
      <c r="H57" s="592">
        <v>1.15E-2</v>
      </c>
      <c r="I57" s="592">
        <v>1.1494252873563E-2</v>
      </c>
      <c r="J57" s="592">
        <v>1.1494252873563E-2</v>
      </c>
      <c r="K57" s="592">
        <v>1.1494252873563E-2</v>
      </c>
      <c r="L57" s="592">
        <v>1.1494252873563E-2</v>
      </c>
      <c r="M57" s="592">
        <v>1.1494252873563E-2</v>
      </c>
      <c r="N57" s="592">
        <v>1.1494252873563E-2</v>
      </c>
      <c r="O57" s="592">
        <v>1.1494252873563E-2</v>
      </c>
      <c r="P57" s="592">
        <v>1.1494252873563E-2</v>
      </c>
      <c r="Q57" s="592">
        <v>1.1494252873563E-2</v>
      </c>
      <c r="R57" s="592">
        <v>1.1494252873563E-2</v>
      </c>
      <c r="S57" s="592">
        <v>1.1494252873563E-2</v>
      </c>
      <c r="T57" s="592">
        <v>1.1494252873563E-2</v>
      </c>
      <c r="U57" s="592">
        <v>1.1494252873563E-2</v>
      </c>
      <c r="V57" s="592">
        <v>1.1494252873563E-2</v>
      </c>
      <c r="W57" s="592">
        <v>1.1494252873563E-2</v>
      </c>
      <c r="X57" s="592">
        <v>1.1494252873563E-2</v>
      </c>
      <c r="Y57" s="592">
        <v>1.1494252873563E-2</v>
      </c>
      <c r="Z57" s="592">
        <v>1.1494252873563E-2</v>
      </c>
      <c r="AA57" s="592">
        <v>6.8965517241379004E-2</v>
      </c>
      <c r="AB57" s="592">
        <v>0.1149</v>
      </c>
      <c r="AC57" s="592">
        <v>0.45454545454545497</v>
      </c>
      <c r="AD57" s="592">
        <v>0.45454545454545497</v>
      </c>
      <c r="AE57" s="592">
        <v>0.54545454545454597</v>
      </c>
      <c r="AF57" s="592">
        <v>0.54545454545454597</v>
      </c>
      <c r="AG57" s="592">
        <v>0.54545454545454597</v>
      </c>
      <c r="AH57" s="592">
        <v>0.94379999999999997</v>
      </c>
      <c r="AI57" s="592">
        <v>0.94379999999999997</v>
      </c>
      <c r="AJ57" s="592">
        <v>0.94379999999999997</v>
      </c>
      <c r="AK57" s="592">
        <v>0.94382022471910099</v>
      </c>
      <c r="AL57" s="592">
        <v>0.94382022471910099</v>
      </c>
      <c r="AM57" s="592">
        <v>0.94382022471910099</v>
      </c>
      <c r="AN57" s="592">
        <v>0.94382022471910099</v>
      </c>
      <c r="AO57" s="592">
        <v>0.94382022471910099</v>
      </c>
      <c r="AP57" s="592">
        <v>0.94382022471910099</v>
      </c>
      <c r="AQ57" s="593"/>
      <c r="AR57" s="593"/>
      <c r="AS57" s="593"/>
      <c r="AT57" s="593"/>
      <c r="AU57" s="593"/>
      <c r="AV57" s="593"/>
      <c r="AW57" s="593"/>
      <c r="AX57" s="593"/>
      <c r="AY57" s="593"/>
      <c r="AZ57" s="593"/>
      <c r="BA57" s="593"/>
      <c r="BB57" s="593"/>
      <c r="BC57" s="593"/>
      <c r="BD57" s="593"/>
    </row>
    <row r="58" spans="2:56">
      <c r="B58" s="230" t="s">
        <v>1351</v>
      </c>
      <c r="C58" s="592">
        <v>0</v>
      </c>
      <c r="D58" s="592">
        <v>0</v>
      </c>
      <c r="E58" s="592">
        <v>0</v>
      </c>
      <c r="F58" s="592">
        <v>0</v>
      </c>
      <c r="G58" s="592">
        <v>0</v>
      </c>
      <c r="H58" s="592">
        <v>3.0999999999999999E-3</v>
      </c>
      <c r="I58" s="592">
        <v>3.0864197530860002E-3</v>
      </c>
      <c r="J58" s="592">
        <v>3.0864197530860002E-3</v>
      </c>
      <c r="K58" s="592">
        <v>3.0864197530860002E-3</v>
      </c>
      <c r="L58" s="592">
        <v>3.0864197530860002E-3</v>
      </c>
      <c r="M58" s="592">
        <v>3.0864197530860002E-3</v>
      </c>
      <c r="N58" s="592">
        <v>3.0864197530860002E-3</v>
      </c>
      <c r="O58" s="592">
        <v>3.0864197530860002E-3</v>
      </c>
      <c r="P58" s="592">
        <v>3.0864197530860002E-3</v>
      </c>
      <c r="Q58" s="592">
        <v>3.0864197530860002E-3</v>
      </c>
      <c r="R58" s="592">
        <v>3.0864197530860002E-3</v>
      </c>
      <c r="S58" s="592">
        <v>3.0864197530860002E-3</v>
      </c>
      <c r="T58" s="592">
        <v>3.0864197530860002E-3</v>
      </c>
      <c r="U58" s="592">
        <v>3.0864197530860002E-3</v>
      </c>
      <c r="V58" s="592">
        <v>3.0864197530860002E-3</v>
      </c>
      <c r="W58" s="592">
        <v>3.0864197530860002E-3</v>
      </c>
      <c r="X58" s="592">
        <v>3.0864197530860002E-3</v>
      </c>
      <c r="Y58" s="592">
        <v>3.0864197530860002E-3</v>
      </c>
      <c r="Z58" s="592">
        <v>3.0864197530860002E-3</v>
      </c>
      <c r="AA58" s="592">
        <v>3.0864197530860002E-3</v>
      </c>
      <c r="AB58" s="592">
        <v>3.0999999999999999E-3</v>
      </c>
      <c r="AC58" s="592">
        <v>3.0999999999999999E-3</v>
      </c>
      <c r="AD58" s="592">
        <v>0.12962962962963001</v>
      </c>
      <c r="AE58" s="592">
        <v>0.12962962962963001</v>
      </c>
      <c r="AF58" s="592">
        <v>0.12962962962963001</v>
      </c>
      <c r="AG58" s="592">
        <v>0.265432098765432</v>
      </c>
      <c r="AH58" s="592">
        <v>0.26540000000000002</v>
      </c>
      <c r="AI58" s="592">
        <v>0.26540000000000002</v>
      </c>
      <c r="AJ58" s="592">
        <v>0.26540000000000002</v>
      </c>
      <c r="AK58" s="592">
        <v>0.265432098765432</v>
      </c>
      <c r="AL58" s="592">
        <v>0.265432098765432</v>
      </c>
      <c r="AM58" s="592">
        <v>0.265432098765432</v>
      </c>
      <c r="AN58" s="592">
        <v>0.265432098765432</v>
      </c>
      <c r="AO58" s="592">
        <v>0.265432098765432</v>
      </c>
      <c r="AP58" s="592">
        <v>0.265432098765432</v>
      </c>
      <c r="AQ58" s="593"/>
      <c r="AR58" s="593"/>
      <c r="AS58" s="593"/>
      <c r="AT58" s="593"/>
      <c r="AU58" s="593"/>
      <c r="AV58" s="593"/>
      <c r="AW58" s="593"/>
      <c r="AX58" s="593"/>
      <c r="AY58" s="593"/>
      <c r="AZ58" s="593"/>
      <c r="BA58" s="593"/>
      <c r="BB58" s="593"/>
      <c r="BC58" s="593"/>
      <c r="BD58" s="593"/>
    </row>
    <row r="59" spans="2:56">
      <c r="B59" s="230" t="s">
        <v>1352</v>
      </c>
      <c r="C59" s="592">
        <v>0</v>
      </c>
      <c r="D59" s="592">
        <v>0.47370000000000001</v>
      </c>
      <c r="E59" s="592">
        <v>0.63160000000000005</v>
      </c>
      <c r="F59" s="592">
        <v>0.73684210526315796</v>
      </c>
      <c r="G59" s="592">
        <v>0.89473684210526305</v>
      </c>
      <c r="H59" s="592">
        <v>1</v>
      </c>
      <c r="I59" s="592">
        <v>1</v>
      </c>
      <c r="J59" s="592">
        <v>1</v>
      </c>
      <c r="K59" s="592">
        <v>1</v>
      </c>
      <c r="L59" s="592">
        <v>1</v>
      </c>
      <c r="M59" s="592">
        <v>1</v>
      </c>
      <c r="N59" s="592">
        <v>1</v>
      </c>
      <c r="O59" s="592">
        <v>1</v>
      </c>
      <c r="P59" s="592">
        <v>1</v>
      </c>
      <c r="Q59" s="592">
        <v>1</v>
      </c>
      <c r="R59" s="592">
        <v>1</v>
      </c>
      <c r="S59" s="592">
        <v>1</v>
      </c>
      <c r="T59" s="592">
        <v>1</v>
      </c>
      <c r="U59" s="592">
        <v>1</v>
      </c>
      <c r="V59" s="592">
        <v>1</v>
      </c>
      <c r="W59" s="592">
        <v>1</v>
      </c>
      <c r="X59" s="592">
        <v>1</v>
      </c>
      <c r="Y59" s="592">
        <v>1</v>
      </c>
      <c r="Z59" s="592">
        <v>1</v>
      </c>
      <c r="AA59" s="592">
        <v>1</v>
      </c>
      <c r="AB59" s="592">
        <v>1</v>
      </c>
      <c r="AC59" s="592">
        <v>1</v>
      </c>
      <c r="AD59" s="592">
        <v>1</v>
      </c>
      <c r="AE59" s="592">
        <v>1</v>
      </c>
      <c r="AF59" s="592">
        <v>1</v>
      </c>
      <c r="AG59" s="592">
        <v>1</v>
      </c>
      <c r="AH59" s="592">
        <v>1</v>
      </c>
      <c r="AI59" s="592">
        <v>1</v>
      </c>
      <c r="AJ59" s="592">
        <v>1</v>
      </c>
      <c r="AK59" s="592">
        <v>1</v>
      </c>
      <c r="AL59" s="592">
        <v>1</v>
      </c>
      <c r="AM59" s="592">
        <v>1</v>
      </c>
      <c r="AN59" s="592">
        <v>1</v>
      </c>
      <c r="AO59" s="592">
        <v>1</v>
      </c>
      <c r="AP59" s="592">
        <v>1</v>
      </c>
      <c r="AQ59" s="593"/>
      <c r="AR59" s="593"/>
      <c r="AS59" s="593"/>
      <c r="AT59" s="593"/>
      <c r="AU59" s="593"/>
      <c r="AV59" s="593"/>
      <c r="AW59" s="593"/>
      <c r="AX59" s="593"/>
      <c r="AY59" s="593"/>
      <c r="AZ59" s="593"/>
      <c r="BA59" s="593"/>
      <c r="BB59" s="593"/>
      <c r="BC59" s="593"/>
      <c r="BD59" s="593"/>
    </row>
    <row r="60" spans="2:56">
      <c r="B60" s="230" t="s">
        <v>1353</v>
      </c>
      <c r="C60" s="592">
        <v>0</v>
      </c>
      <c r="D60" s="592">
        <v>0</v>
      </c>
      <c r="E60" s="592">
        <v>0</v>
      </c>
      <c r="F60" s="592">
        <v>0</v>
      </c>
      <c r="G60" s="592">
        <v>0</v>
      </c>
      <c r="H60" s="592">
        <v>4.3999999999999997E-2</v>
      </c>
      <c r="I60" s="592">
        <v>0.10989010989011</v>
      </c>
      <c r="J60" s="592">
        <v>0.10989010989011</v>
      </c>
      <c r="K60" s="592">
        <v>0.10989010989011</v>
      </c>
      <c r="L60" s="592">
        <v>0.10989010989011</v>
      </c>
      <c r="M60" s="592">
        <v>0.10989010989011</v>
      </c>
      <c r="N60" s="592">
        <v>0.10989010989011</v>
      </c>
      <c r="O60" s="592">
        <v>0.10989010989011</v>
      </c>
      <c r="P60" s="592">
        <v>0.10989010989011</v>
      </c>
      <c r="Q60" s="592">
        <v>0.10989010989011</v>
      </c>
      <c r="R60" s="592">
        <v>0.10989010989011</v>
      </c>
      <c r="S60" s="592">
        <v>0.10989010989011</v>
      </c>
      <c r="T60" s="592">
        <v>0.10989010989011</v>
      </c>
      <c r="U60" s="592">
        <v>0.118279569892473</v>
      </c>
      <c r="V60" s="592">
        <v>0.204301075268817</v>
      </c>
      <c r="W60" s="592">
        <v>0.204301075268817</v>
      </c>
      <c r="X60" s="592">
        <v>0.204301075268817</v>
      </c>
      <c r="Y60" s="592">
        <v>0.204301075268817</v>
      </c>
      <c r="Z60" s="592">
        <v>0.247311827956989</v>
      </c>
      <c r="AA60" s="592">
        <v>0.247311827956989</v>
      </c>
      <c r="AB60" s="592">
        <v>0.2366</v>
      </c>
      <c r="AC60" s="592">
        <v>0.2366</v>
      </c>
      <c r="AD60" s="592">
        <v>0.236559139784946</v>
      </c>
      <c r="AE60" s="592">
        <v>0.236559139784946</v>
      </c>
      <c r="AF60" s="592">
        <v>0.236559139784946</v>
      </c>
      <c r="AG60" s="592">
        <v>0.236559139784946</v>
      </c>
      <c r="AH60" s="592">
        <v>0.2366</v>
      </c>
      <c r="AI60" s="592">
        <v>0.2366</v>
      </c>
      <c r="AJ60" s="592">
        <v>0.2366</v>
      </c>
      <c r="AK60" s="592">
        <v>0.236559139784946</v>
      </c>
      <c r="AL60" s="592">
        <v>0.236559139784946</v>
      </c>
      <c r="AM60" s="592">
        <v>0.72727272727272696</v>
      </c>
      <c r="AN60" s="592">
        <v>0.72727272727272696</v>
      </c>
      <c r="AO60" s="592">
        <v>0.72727272727272696</v>
      </c>
      <c r="AP60" s="592">
        <v>0.74025974025973995</v>
      </c>
      <c r="AQ60" s="593"/>
      <c r="AR60" s="593"/>
      <c r="AS60" s="593"/>
      <c r="AT60" s="593"/>
      <c r="AU60" s="593"/>
      <c r="AV60" s="593"/>
      <c r="AW60" s="593"/>
      <c r="AX60" s="593"/>
      <c r="AY60" s="593"/>
      <c r="AZ60" s="593"/>
      <c r="BA60" s="593"/>
      <c r="BB60" s="593"/>
      <c r="BC60" s="593"/>
      <c r="BD60" s="593"/>
    </row>
    <row r="61" spans="2:56">
      <c r="B61" s="230" t="s">
        <v>1354</v>
      </c>
      <c r="C61" s="592">
        <v>0</v>
      </c>
      <c r="D61" s="592">
        <v>0.93940000000000001</v>
      </c>
      <c r="E61" s="592">
        <v>0.93940000000000001</v>
      </c>
      <c r="F61" s="592">
        <v>0.93939393939394</v>
      </c>
      <c r="G61" s="592">
        <v>0.93939393939394</v>
      </c>
      <c r="H61" s="592">
        <v>0.93940000000000001</v>
      </c>
      <c r="I61" s="592">
        <v>0.93939393939394</v>
      </c>
      <c r="J61" s="592">
        <v>0.93939393939394</v>
      </c>
      <c r="K61" s="592">
        <v>0.93939393939394</v>
      </c>
      <c r="L61" s="592">
        <v>0.93939393939394</v>
      </c>
      <c r="M61" s="592">
        <v>0.93939393939394</v>
      </c>
      <c r="N61" s="592">
        <v>0.93939393939394</v>
      </c>
      <c r="O61" s="592">
        <v>0.93939393939394</v>
      </c>
      <c r="P61" s="592">
        <v>0.93939393939394</v>
      </c>
      <c r="Q61" s="592">
        <v>0.93939393939394</v>
      </c>
      <c r="R61" s="592">
        <v>0.93939393939394</v>
      </c>
      <c r="S61" s="592">
        <v>0.93939393939394</v>
      </c>
      <c r="T61" s="592">
        <v>0.93939393939394</v>
      </c>
      <c r="U61" s="592">
        <v>0.93939393939394</v>
      </c>
      <c r="V61" s="592">
        <v>0.93939393939394</v>
      </c>
      <c r="W61" s="592">
        <v>0.93939393939394</v>
      </c>
      <c r="X61" s="592">
        <v>0.93939393939394</v>
      </c>
      <c r="Y61" s="592">
        <v>0.93939393939394</v>
      </c>
      <c r="Z61" s="592">
        <v>0.93939393939394</v>
      </c>
      <c r="AA61" s="592">
        <v>0.93939393939394</v>
      </c>
      <c r="AB61" s="592">
        <v>0.96970000000000001</v>
      </c>
      <c r="AC61" s="592">
        <v>0.96970000000000001</v>
      </c>
      <c r="AD61" s="592">
        <v>1</v>
      </c>
      <c r="AE61" s="592">
        <v>1</v>
      </c>
      <c r="AF61" s="592">
        <v>1</v>
      </c>
      <c r="AG61" s="592">
        <v>1</v>
      </c>
      <c r="AH61" s="592">
        <v>1</v>
      </c>
      <c r="AI61" s="592">
        <v>1</v>
      </c>
      <c r="AJ61" s="592">
        <v>1</v>
      </c>
      <c r="AK61" s="592">
        <v>1</v>
      </c>
      <c r="AL61" s="592">
        <v>1</v>
      </c>
      <c r="AM61" s="592">
        <v>1</v>
      </c>
      <c r="AN61" s="592">
        <v>1</v>
      </c>
      <c r="AO61" s="592">
        <v>1</v>
      </c>
      <c r="AP61" s="592">
        <v>1</v>
      </c>
      <c r="AQ61" s="593"/>
      <c r="AR61" s="593"/>
      <c r="AS61" s="593"/>
      <c r="AT61" s="593"/>
      <c r="AU61" s="593"/>
      <c r="AV61" s="593"/>
      <c r="AW61" s="593"/>
      <c r="AX61" s="593"/>
      <c r="AY61" s="593"/>
      <c r="AZ61" s="593"/>
      <c r="BA61" s="593"/>
      <c r="BB61" s="593"/>
      <c r="BC61" s="593"/>
      <c r="BD61" s="593"/>
    </row>
    <row r="63" spans="2:56">
      <c r="B63" s="600"/>
    </row>
  </sheetData>
  <phoneticPr fontId="106"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ummary">
    <tabColor rgb="FFFFFFFF"/>
  </sheetPr>
  <dimension ref="A1:X93"/>
  <sheetViews>
    <sheetView showGridLines="0" workbookViewId="0"/>
  </sheetViews>
  <sheetFormatPr defaultRowHeight="14"/>
  <cols>
    <col min="1" max="1" width="1.08984375" style="35" customWidth="1"/>
    <col min="2" max="2" width="16.6328125" style="35" customWidth="1"/>
    <col min="13" max="13" width="4" style="35" customWidth="1"/>
    <col min="14" max="14" width="92.08984375" style="35" customWidth="1"/>
    <col min="15" max="15" width="5.36328125" style="35" customWidth="1"/>
    <col min="16" max="16" width="16.7265625" style="35" customWidth="1"/>
    <col min="17" max="17" width="14.7265625" style="944" customWidth="1"/>
  </cols>
  <sheetData>
    <row r="1" spans="1:24" ht="4.5" customHeight="1">
      <c r="B1" s="792"/>
      <c r="C1" s="792"/>
      <c r="D1" s="792"/>
      <c r="E1" s="792"/>
      <c r="F1" s="35"/>
      <c r="G1" s="792"/>
      <c r="L1" s="792"/>
    </row>
    <row r="2" spans="1:24">
      <c r="A2" s="793"/>
      <c r="B2" s="972" t="s">
        <v>2327</v>
      </c>
      <c r="C2" s="957"/>
      <c r="D2" s="957"/>
      <c r="E2" s="957"/>
      <c r="F2" s="973"/>
      <c r="G2" s="957"/>
      <c r="H2" s="974"/>
      <c r="I2" s="975"/>
      <c r="J2" s="975"/>
      <c r="K2" s="974"/>
      <c r="L2" s="976"/>
      <c r="P2" s="794" t="s">
        <v>23</v>
      </c>
      <c r="Q2" s="977" t="s">
        <v>2911</v>
      </c>
      <c r="R2" s="776"/>
      <c r="S2" s="795"/>
      <c r="T2" s="796"/>
      <c r="U2" s="796"/>
      <c r="V2" s="796"/>
      <c r="W2" s="796"/>
      <c r="X2" s="796"/>
    </row>
    <row r="3" spans="1:24">
      <c r="A3" s="213"/>
      <c r="B3" s="797"/>
      <c r="C3" s="798" t="s">
        <v>23</v>
      </c>
      <c r="D3" s="799" t="s">
        <v>64</v>
      </c>
      <c r="E3" s="800" t="s">
        <v>416</v>
      </c>
      <c r="F3" s="801" t="s">
        <v>184</v>
      </c>
      <c r="G3" s="271" t="s">
        <v>2328</v>
      </c>
      <c r="H3" s="802" t="s">
        <v>2912</v>
      </c>
      <c r="I3" s="803" t="s">
        <v>2913</v>
      </c>
      <c r="J3" s="804" t="s">
        <v>2914</v>
      </c>
      <c r="K3" s="805" t="s">
        <v>2329</v>
      </c>
      <c r="L3" s="806" t="s">
        <v>2330</v>
      </c>
      <c r="P3" s="807" t="s">
        <v>64</v>
      </c>
      <c r="Q3" s="978"/>
      <c r="R3" s="776"/>
      <c r="S3" s="795"/>
      <c r="T3" s="795"/>
      <c r="U3" s="796"/>
      <c r="V3" s="796"/>
      <c r="W3" s="796"/>
      <c r="X3" s="796"/>
    </row>
    <row r="4" spans="1:24">
      <c r="A4" s="213"/>
      <c r="B4" s="797" t="s">
        <v>1342</v>
      </c>
      <c r="C4" s="808">
        <f>COUNTIF(fanout!J:AC,"PASS")</f>
        <v>22</v>
      </c>
      <c r="D4" s="809">
        <v>3</v>
      </c>
      <c r="E4" s="810">
        <f>COUNTIF(fanout!J:J,"NT")</f>
        <v>0</v>
      </c>
      <c r="F4" s="811">
        <v>0</v>
      </c>
      <c r="G4" s="212">
        <f>COUNTIF(fanout!A:A,"*fanout*")</f>
        <v>25</v>
      </c>
      <c r="H4" s="812">
        <f t="shared" ref="H4:H17" si="0">C4/G4</f>
        <v>0.88</v>
      </c>
      <c r="I4" s="813">
        <f t="shared" ref="I4:I17" si="1">D4/G4</f>
        <v>0.12</v>
      </c>
      <c r="J4" s="814">
        <f t="shared" ref="J4:J16" si="2">F4/G4</f>
        <v>0</v>
      </c>
      <c r="K4" s="815">
        <f t="shared" ref="K4:K17" si="3">SUM((C4+D4)/G4)</f>
        <v>1</v>
      </c>
      <c r="L4" s="806" t="s">
        <v>2334</v>
      </c>
      <c r="P4" s="807" t="s">
        <v>416</v>
      </c>
      <c r="Q4" s="816">
        <f>(C11+C12)/(G11+G12)</f>
        <v>0</v>
      </c>
      <c r="R4" s="776"/>
      <c r="S4" s="817"/>
      <c r="T4" s="817"/>
      <c r="U4" s="796"/>
      <c r="V4" s="796"/>
      <c r="W4" s="796"/>
      <c r="X4" s="796"/>
    </row>
    <row r="5" spans="1:24">
      <c r="A5" s="213"/>
      <c r="B5" s="797" t="s">
        <v>1343</v>
      </c>
      <c r="C5" s="808">
        <f>COUNTIF(AI场景!J:AD,"PASS")</f>
        <v>31</v>
      </c>
      <c r="D5" s="809">
        <v>3</v>
      </c>
      <c r="E5" s="810">
        <v>0</v>
      </c>
      <c r="F5" s="811">
        <v>0</v>
      </c>
      <c r="G5" s="212">
        <v>34</v>
      </c>
      <c r="H5" s="812">
        <f t="shared" si="0"/>
        <v>0.91176470588235292</v>
      </c>
      <c r="I5" s="813">
        <f t="shared" si="1"/>
        <v>8.8235294117647065E-2</v>
      </c>
      <c r="J5" s="814">
        <f t="shared" si="2"/>
        <v>0</v>
      </c>
      <c r="K5" s="815">
        <f t="shared" si="3"/>
        <v>1</v>
      </c>
      <c r="L5" s="806" t="s">
        <v>2334</v>
      </c>
      <c r="P5" s="818" t="s">
        <v>184</v>
      </c>
      <c r="Q5" s="816">
        <f>(C11+C12+D11+D12)/(G11+G12)</f>
        <v>1</v>
      </c>
      <c r="R5" s="776"/>
      <c r="S5" s="817"/>
      <c r="T5" s="817"/>
      <c r="U5" s="796"/>
      <c r="V5" s="796"/>
      <c r="W5" s="796"/>
      <c r="X5" s="796"/>
    </row>
    <row r="6" spans="1:24">
      <c r="A6" s="213"/>
      <c r="B6" s="797" t="s">
        <v>1344</v>
      </c>
      <c r="C6" s="808">
        <v>27</v>
      </c>
      <c r="D6" s="809">
        <v>0</v>
      </c>
      <c r="E6" s="810">
        <v>0</v>
      </c>
      <c r="F6" s="811">
        <v>0</v>
      </c>
      <c r="G6" s="212">
        <v>27</v>
      </c>
      <c r="H6" s="812">
        <f t="shared" si="0"/>
        <v>1</v>
      </c>
      <c r="I6" s="813">
        <f t="shared" si="1"/>
        <v>0</v>
      </c>
      <c r="J6" s="814">
        <f t="shared" si="2"/>
        <v>0</v>
      </c>
      <c r="K6" s="815">
        <f t="shared" si="3"/>
        <v>1</v>
      </c>
      <c r="L6" s="806" t="s">
        <v>2335</v>
      </c>
      <c r="P6" s="819"/>
      <c r="Q6" s="820" t="s">
        <v>2915</v>
      </c>
      <c r="R6" s="776"/>
      <c r="S6" s="817"/>
      <c r="T6" s="817"/>
      <c r="U6" s="796"/>
      <c r="V6" s="796"/>
      <c r="W6" s="796"/>
      <c r="X6" s="796"/>
    </row>
    <row r="7" spans="1:24">
      <c r="A7" s="213"/>
      <c r="B7" s="797" t="s">
        <v>1345</v>
      </c>
      <c r="C7" s="808">
        <v>30</v>
      </c>
      <c r="D7" s="809">
        <v>2</v>
      </c>
      <c r="E7" s="810">
        <v>0</v>
      </c>
      <c r="F7" s="811">
        <v>0</v>
      </c>
      <c r="G7" s="212">
        <f>COUNTIF(网络场景!A:A,"PCI*")</f>
        <v>32</v>
      </c>
      <c r="H7" s="812">
        <f t="shared" si="0"/>
        <v>0.9375</v>
      </c>
      <c r="I7" s="813">
        <f t="shared" si="1"/>
        <v>6.25E-2</v>
      </c>
      <c r="J7" s="814">
        <f t="shared" si="2"/>
        <v>0</v>
      </c>
      <c r="K7" s="815">
        <f t="shared" si="3"/>
        <v>1</v>
      </c>
      <c r="L7" s="806" t="s">
        <v>2336</v>
      </c>
      <c r="P7"/>
      <c r="Q7" s="821" t="str">
        <f>"Yundu回片基础模式执行率进展(右图为实现进展):("&amp;(C17+D17)&amp;"/"&amp;(G17)&amp;") "&amp;TEXT(K17,"0.00%")</f>
        <v>Yundu回片基础模式执行率进展(右图为实现进展):(1113/1115) 99.82%</v>
      </c>
      <c r="R7" s="776"/>
      <c r="S7" s="817"/>
      <c r="T7" s="817"/>
      <c r="U7" s="796"/>
      <c r="V7" s="796"/>
      <c r="W7" s="796"/>
      <c r="X7" s="796"/>
    </row>
    <row r="8" spans="1:24">
      <c r="A8" s="213"/>
      <c r="B8" s="797" t="s">
        <v>1346</v>
      </c>
      <c r="C8" s="808">
        <v>13</v>
      </c>
      <c r="D8" s="809">
        <v>0</v>
      </c>
      <c r="E8" s="810">
        <v>0</v>
      </c>
      <c r="F8" s="811">
        <f>COUNTIF(压力测试!O:AAB,"BLOCK")</f>
        <v>0</v>
      </c>
      <c r="G8" s="212">
        <f>COUNTIF(压力测试!A:A,"PCI*")</f>
        <v>13</v>
      </c>
      <c r="H8" s="812">
        <f t="shared" si="0"/>
        <v>1</v>
      </c>
      <c r="I8" s="813">
        <f t="shared" si="1"/>
        <v>0</v>
      </c>
      <c r="J8" s="814">
        <f t="shared" si="2"/>
        <v>0</v>
      </c>
      <c r="K8" s="815">
        <f t="shared" si="3"/>
        <v>1</v>
      </c>
      <c r="L8" s="806" t="s">
        <v>2338</v>
      </c>
      <c r="P8"/>
      <c r="Q8" s="822" t="str">
        <f>"① FANOUT("&amp;(C4+D4)&amp;"/"&amp;(G4)&amp;") "&amp;TEXT(H4,"0.00%")</f>
        <v>① FANOUT(25/25) 88.00%</v>
      </c>
      <c r="R8" s="776"/>
      <c r="S8" s="817"/>
      <c r="T8" s="817"/>
      <c r="U8" s="796"/>
      <c r="V8" s="796"/>
      <c r="W8" s="796"/>
      <c r="X8" s="796"/>
    </row>
    <row r="9" spans="1:24">
      <c r="A9" s="213"/>
      <c r="B9" s="797" t="s">
        <v>1347</v>
      </c>
      <c r="C9" s="823">
        <f>COUNTIF(协议类测试!J:W,"PASS")</f>
        <v>181</v>
      </c>
      <c r="D9" s="809">
        <f>G9-C9-E9-F9</f>
        <v>56</v>
      </c>
      <c r="E9" s="810">
        <f>COUNTIF(协议类测试!J:W,"NT")</f>
        <v>0</v>
      </c>
      <c r="F9" s="811">
        <f>COUNTIF(协议类测试!J:W,"BLOCK")</f>
        <v>0</v>
      </c>
      <c r="G9" s="212">
        <f>COUNTIF(协议类测试!A:A,"PCI*")</f>
        <v>237</v>
      </c>
      <c r="H9" s="812">
        <f t="shared" si="0"/>
        <v>0.76371308016877637</v>
      </c>
      <c r="I9" s="813">
        <f t="shared" si="1"/>
        <v>0.23628691983122363</v>
      </c>
      <c r="J9" s="814">
        <f t="shared" si="2"/>
        <v>0</v>
      </c>
      <c r="K9" s="815">
        <f t="shared" si="3"/>
        <v>1</v>
      </c>
      <c r="L9" s="806" t="s">
        <v>2338</v>
      </c>
      <c r="P9"/>
      <c r="Q9" s="822" t="str">
        <f>"② AI("&amp;(C5+D5)&amp;"/"&amp;(G5)&amp;") "&amp;TEXT(H5,"0.00%")</f>
        <v>② AI(34/34) 91.18%</v>
      </c>
      <c r="R9" s="776"/>
      <c r="S9" s="817"/>
      <c r="T9" s="817"/>
      <c r="U9" s="796"/>
      <c r="V9" s="796"/>
      <c r="W9" s="796"/>
      <c r="X9" s="796"/>
    </row>
    <row r="10" spans="1:24">
      <c r="A10" s="213"/>
      <c r="B10" s="797" t="s">
        <v>1348</v>
      </c>
      <c r="C10" s="808">
        <f>COUNTIF(PCISIG!K:K,"PASS")</f>
        <v>29</v>
      </c>
      <c r="D10" s="809">
        <f>G10-C10-E10-F10</f>
        <v>12</v>
      </c>
      <c r="E10" s="810">
        <f>COUNTIF(PCISIG!J:AC,"NT")</f>
        <v>0</v>
      </c>
      <c r="F10" s="811">
        <f>COUNTIF(PCISIG!L:L,"BLOCK")</f>
        <v>0</v>
      </c>
      <c r="G10" s="212">
        <f>COUNTIF(PCISIG!A:A,"PCI*")</f>
        <v>41</v>
      </c>
      <c r="H10" s="812">
        <f t="shared" si="0"/>
        <v>0.70731707317073167</v>
      </c>
      <c r="I10" s="813">
        <f t="shared" si="1"/>
        <v>0.29268292682926828</v>
      </c>
      <c r="J10" s="814">
        <f t="shared" si="2"/>
        <v>0</v>
      </c>
      <c r="K10" s="815">
        <f t="shared" si="3"/>
        <v>1</v>
      </c>
      <c r="L10" s="806" t="s">
        <v>2334</v>
      </c>
      <c r="P10"/>
      <c r="Q10" s="822" t="str">
        <f>"③ 存储("&amp;(C6)&amp;"/"&amp;(G6)&amp;") "&amp;TEXT(H6,"0.00%")</f>
        <v>③ 存储(27/27) 100.00%</v>
      </c>
      <c r="R10" s="776"/>
      <c r="S10" s="817"/>
      <c r="T10" s="817"/>
      <c r="U10" s="796"/>
      <c r="V10" s="796"/>
      <c r="W10" s="796"/>
      <c r="X10" s="796"/>
    </row>
    <row r="11" spans="1:24">
      <c r="A11" s="213"/>
      <c r="B11" s="797" t="s">
        <v>1349</v>
      </c>
      <c r="C11" s="808">
        <f>COUNTIF(PCIECV_USP!J:V,"PASS")+COUNTIF(PCIECV_USP!J:V,"SKIPPED")</f>
        <v>0</v>
      </c>
      <c r="D11" s="809">
        <f>G11-C11-E11-F11</f>
        <v>88</v>
      </c>
      <c r="E11" s="810">
        <f>COUNTIF(PCIECV_USP!J:V,"NT")</f>
        <v>0</v>
      </c>
      <c r="F11" s="811">
        <f>COUNTIF(PCIECV_USP!J:V,"BLOCK")</f>
        <v>0</v>
      </c>
      <c r="G11" s="212">
        <f>COUNTIF(PCIECV_USP!A:A,"PCI*")</f>
        <v>88</v>
      </c>
      <c r="H11" s="812">
        <f t="shared" si="0"/>
        <v>0</v>
      </c>
      <c r="I11" s="813">
        <f t="shared" si="1"/>
        <v>1</v>
      </c>
      <c r="J11" s="814">
        <f t="shared" si="2"/>
        <v>0</v>
      </c>
      <c r="K11" s="815">
        <f t="shared" si="3"/>
        <v>1</v>
      </c>
      <c r="L11" s="806" t="s">
        <v>2916</v>
      </c>
      <c r="P11"/>
      <c r="Q11" s="822" t="str">
        <f>"④ 网络("&amp;(C7)&amp;"/"&amp;(G7)&amp;") "&amp;TEXT(H7,"0.00%")</f>
        <v>④ 网络(30/32) 93.75%</v>
      </c>
      <c r="R11" s="776"/>
      <c r="S11" s="817"/>
      <c r="T11" s="817"/>
      <c r="U11" s="796"/>
      <c r="V11" s="796"/>
      <c r="W11" s="796"/>
      <c r="X11" s="796"/>
    </row>
    <row r="12" spans="1:24">
      <c r="A12" s="213"/>
      <c r="B12" s="797" t="s">
        <v>1350</v>
      </c>
      <c r="C12" s="808">
        <f>COUNTIF(PCIECV_DSP!J:Y,"PASS")+COUNTIF(PCIECV_DSP!J:Y,"SKIPPED")</f>
        <v>0</v>
      </c>
      <c r="D12" s="809">
        <f>G12-C12-E12-F12</f>
        <v>89</v>
      </c>
      <c r="E12" s="810">
        <f>COUNTIF(PCIECV_DSP!J:ZX,"NT")</f>
        <v>0</v>
      </c>
      <c r="F12" s="811">
        <f>COUNTIF(PCIECV_DSP!J:Y,"BLOCK")</f>
        <v>0</v>
      </c>
      <c r="G12" s="212">
        <f>COUNTIF(PCIECV_DSP!A:A,"PCI*")</f>
        <v>89</v>
      </c>
      <c r="H12" s="812">
        <f t="shared" si="0"/>
        <v>0</v>
      </c>
      <c r="I12" s="813">
        <f t="shared" si="1"/>
        <v>1</v>
      </c>
      <c r="J12" s="814">
        <f t="shared" si="2"/>
        <v>0</v>
      </c>
      <c r="K12" s="815">
        <f t="shared" si="3"/>
        <v>1</v>
      </c>
      <c r="L12" s="806" t="s">
        <v>2346</v>
      </c>
      <c r="P12"/>
      <c r="Q12" s="822" t="str">
        <f>"⑤ 压力测试("&amp;(C8)&amp;"/"&amp;(G8)&amp;") "&amp;TEXT(H8,"0.00%")</f>
        <v>⑤ 压力测试(13/13) 100.00%</v>
      </c>
      <c r="R12" s="776"/>
      <c r="S12" s="817"/>
      <c r="T12" s="817"/>
      <c r="U12" s="796"/>
      <c r="V12" s="796"/>
      <c r="W12" s="796"/>
      <c r="X12" s="796"/>
    </row>
    <row r="13" spans="1:24">
      <c r="A13" s="213"/>
      <c r="B13" s="797" t="s">
        <v>1351</v>
      </c>
      <c r="C13" s="808">
        <f>84+44+42+48+78+26</f>
        <v>322</v>
      </c>
      <c r="D13" s="809">
        <f>2+2+4</f>
        <v>8</v>
      </c>
      <c r="E13" s="810">
        <v>0</v>
      </c>
      <c r="F13" s="811">
        <v>0</v>
      </c>
      <c r="G13" s="212">
        <v>330</v>
      </c>
      <c r="H13" s="812">
        <f t="shared" si="0"/>
        <v>0.97575757575757571</v>
      </c>
      <c r="I13" s="813">
        <f t="shared" si="1"/>
        <v>2.4242424242424242E-2</v>
      </c>
      <c r="J13" s="814">
        <f t="shared" si="2"/>
        <v>0</v>
      </c>
      <c r="K13" s="815">
        <f t="shared" si="3"/>
        <v>1</v>
      </c>
      <c r="L13" s="806" t="s">
        <v>2346</v>
      </c>
      <c r="P13"/>
      <c r="Q13" s="822" t="str">
        <f>"⑥ 协议类("&amp;(C9)&amp;"/"&amp;(G9)&amp;") "&amp;TEXT(H9,"0.00%")</f>
        <v>⑥ 协议类(181/237) 76.37%</v>
      </c>
      <c r="R13" s="776"/>
      <c r="S13" s="817"/>
      <c r="T13" s="817"/>
      <c r="U13" s="796"/>
      <c r="V13" s="796"/>
      <c r="W13" s="796"/>
      <c r="X13" s="796"/>
    </row>
    <row r="14" spans="1:24">
      <c r="A14" s="213"/>
      <c r="B14" s="797" t="s">
        <v>1352</v>
      </c>
      <c r="C14" s="808">
        <f>COUNTIF(DMA!J:X,"PASS")</f>
        <v>17</v>
      </c>
      <c r="D14" s="809">
        <f>G14-C14-E14-F14</f>
        <v>0</v>
      </c>
      <c r="E14" s="810">
        <f>COUNTIF(DMA!J:X,"NT")</f>
        <v>0</v>
      </c>
      <c r="F14" s="811">
        <f>COUNTIF(DMA!J:X,"BLOCK")</f>
        <v>0</v>
      </c>
      <c r="G14" s="212">
        <f>COUNTIF(DMA!A:A,"PCI*")</f>
        <v>17</v>
      </c>
      <c r="H14" s="812">
        <f t="shared" si="0"/>
        <v>1</v>
      </c>
      <c r="I14" s="813">
        <f t="shared" si="1"/>
        <v>0</v>
      </c>
      <c r="J14" s="814">
        <f t="shared" si="2"/>
        <v>0</v>
      </c>
      <c r="K14" s="815">
        <f t="shared" si="3"/>
        <v>1</v>
      </c>
      <c r="L14" s="806" t="s">
        <v>2332</v>
      </c>
      <c r="P14"/>
      <c r="Q14" s="822" t="str">
        <f>"⑦ PCISIG"&amp;"("&amp;(C10)&amp;"/"&amp;(G10)&amp;")"&amp;" "&amp;TEXT(H10,"0.00%")</f>
        <v>⑦ PCISIG(29/41) 70.73%</v>
      </c>
      <c r="R14" s="776"/>
      <c r="S14" s="817"/>
      <c r="T14" s="817"/>
      <c r="U14" s="796"/>
      <c r="V14" s="796"/>
      <c r="W14" s="796"/>
      <c r="X14" s="796"/>
    </row>
    <row r="15" spans="1:24">
      <c r="A15" s="213"/>
      <c r="B15" s="797" t="s">
        <v>1353</v>
      </c>
      <c r="C15" s="808">
        <v>137</v>
      </c>
      <c r="D15" s="809">
        <v>10</v>
      </c>
      <c r="E15" s="810">
        <v>0</v>
      </c>
      <c r="F15" s="811">
        <v>2</v>
      </c>
      <c r="G15" s="212">
        <v>149</v>
      </c>
      <c r="H15" s="812">
        <f t="shared" si="0"/>
        <v>0.91946308724832215</v>
      </c>
      <c r="I15" s="813">
        <f t="shared" si="1"/>
        <v>6.7114093959731544E-2</v>
      </c>
      <c r="J15" s="814">
        <f t="shared" si="2"/>
        <v>1.3422818791946308E-2</v>
      </c>
      <c r="K15" s="815">
        <f t="shared" si="3"/>
        <v>0.98657718120805371</v>
      </c>
      <c r="L15" s="806" t="s">
        <v>2346</v>
      </c>
      <c r="P15"/>
      <c r="Q15" s="822" t="str">
        <f>"⑧ PCIECV"&amp;"("&amp;(C11+C12)&amp;"/"&amp;(G11+G12)&amp;")"&amp;" "&amp;TEXT(Q4,"0.00%")</f>
        <v>⑧ PCIECV(0/177) 0.00%</v>
      </c>
      <c r="R15" s="776"/>
      <c r="S15" s="817"/>
      <c r="T15" s="817"/>
      <c r="U15" s="796"/>
      <c r="V15" s="796"/>
      <c r="W15" s="796"/>
      <c r="X15" s="796"/>
    </row>
    <row r="16" spans="1:24">
      <c r="A16" s="213"/>
      <c r="B16" s="797" t="s">
        <v>1354</v>
      </c>
      <c r="C16" s="808">
        <f>COUNTIF(兼容性!J:R,"PASS")</f>
        <v>32</v>
      </c>
      <c r="D16" s="809">
        <f>SUM(G16-C16-E16)</f>
        <v>1</v>
      </c>
      <c r="E16" s="810">
        <f>COUNTIF(兼容性!J:R,"NT")</f>
        <v>0</v>
      </c>
      <c r="F16" s="811">
        <f>COUNTIF(兼容性!J:R,"BLOCK")</f>
        <v>0</v>
      </c>
      <c r="G16" s="212">
        <f>COUNTIF(兼容性!A:A,"PCI*")</f>
        <v>33</v>
      </c>
      <c r="H16" s="812">
        <f t="shared" si="0"/>
        <v>0.96969696969696972</v>
      </c>
      <c r="I16" s="813">
        <f t="shared" si="1"/>
        <v>3.0303030303030304E-2</v>
      </c>
      <c r="J16" s="814">
        <f t="shared" si="2"/>
        <v>0</v>
      </c>
      <c r="K16" s="815">
        <f t="shared" si="3"/>
        <v>1</v>
      </c>
      <c r="L16" s="806" t="s">
        <v>2336</v>
      </c>
      <c r="P16"/>
      <c r="Q16" s="822" t="str">
        <f>"⑨ PBL"&amp;"("&amp;(C13)&amp;"/"&amp;(G13)&amp;")"&amp;" "&amp;TEXT(H13,"0.00%")</f>
        <v>⑨ PBL(322/330) 97.58%</v>
      </c>
      <c r="R16" s="776"/>
      <c r="S16" s="817"/>
      <c r="T16" s="817"/>
      <c r="U16" s="796"/>
      <c r="V16" s="796"/>
      <c r="W16" s="796"/>
      <c r="X16" s="796"/>
    </row>
    <row r="17" spans="1:24">
      <c r="A17" s="793"/>
      <c r="B17" s="824" t="s">
        <v>2340</v>
      </c>
      <c r="C17" s="825">
        <f>SUM(C4:C16)</f>
        <v>841</v>
      </c>
      <c r="D17" s="826">
        <f>SUM(D4:D16)</f>
        <v>272</v>
      </c>
      <c r="E17" s="827">
        <f>SUM(E4:E16)</f>
        <v>0</v>
      </c>
      <c r="F17" s="828">
        <f>SUM(F4:F16)</f>
        <v>2</v>
      </c>
      <c r="G17" s="829">
        <f>SUM(G4:G16)</f>
        <v>1115</v>
      </c>
      <c r="H17" s="830">
        <f t="shared" si="0"/>
        <v>0.7542600896860987</v>
      </c>
      <c r="I17" s="831">
        <f t="shared" si="1"/>
        <v>0.24394618834080717</v>
      </c>
      <c r="J17" s="832">
        <f>E17/G17</f>
        <v>0</v>
      </c>
      <c r="K17" s="833">
        <f t="shared" si="3"/>
        <v>0.99820627802690587</v>
      </c>
      <c r="L17" s="834"/>
      <c r="P17"/>
      <c r="Q17" s="822" t="str">
        <f>"⑩ DMA"&amp;"("&amp;(C14)&amp;"/"&amp;(G14)&amp;")"&amp;" "&amp;TEXT(H14,"0.00%")</f>
        <v>⑩ DMA(17/17) 100.00%</v>
      </c>
      <c r="R17" s="776"/>
      <c r="S17" s="796"/>
      <c r="T17" s="796"/>
      <c r="U17" s="796"/>
      <c r="V17" s="796"/>
      <c r="W17" s="796"/>
      <c r="X17" s="796"/>
    </row>
    <row r="18" spans="1:24">
      <c r="A18" s="213"/>
      <c r="C18" s="35"/>
      <c r="D18" s="35"/>
      <c r="E18" s="35"/>
      <c r="F18" s="35"/>
      <c r="G18" s="35"/>
      <c r="H18" s="35"/>
      <c r="I18" s="35"/>
      <c r="J18" s="35"/>
      <c r="K18" s="35"/>
      <c r="L18" s="35"/>
      <c r="P18"/>
      <c r="Q18" s="835" t="str">
        <f>"⑪ 管理工具"&amp;"("&amp;(C15)&amp;"/"&amp;(G15)&amp;")"&amp;" "&amp;TEXT(H15,"0.00%")</f>
        <v>⑪ 管理工具(137/149) 91.95%</v>
      </c>
      <c r="R18" s="776"/>
      <c r="S18" s="836"/>
      <c r="T18" s="836"/>
      <c r="U18" s="836"/>
      <c r="V18" s="836"/>
      <c r="W18" s="836"/>
      <c r="X18" s="836"/>
    </row>
    <row r="19" spans="1:24">
      <c r="A19" s="213"/>
      <c r="C19" s="35"/>
      <c r="D19" s="35"/>
      <c r="E19" s="35"/>
      <c r="F19" s="35"/>
      <c r="G19" s="35"/>
      <c r="H19" s="35"/>
      <c r="I19" s="35"/>
      <c r="J19" s="35"/>
      <c r="K19" s="35"/>
      <c r="L19" s="35"/>
      <c r="P19" s="837"/>
      <c r="Q19" s="838" t="str">
        <f>"⑫ 兼容性"&amp;"("&amp;(C16)&amp;"/"&amp;(G16)&amp;")"&amp;" "&amp;TEXT(H16,"0.00%")</f>
        <v>⑫ 兼容性(32/33) 96.97%</v>
      </c>
    </row>
    <row r="20" spans="1:24">
      <c r="A20" s="793"/>
      <c r="B20" s="972" t="s">
        <v>2344</v>
      </c>
      <c r="C20" s="957"/>
      <c r="D20" s="957"/>
      <c r="E20" s="957"/>
      <c r="F20" s="973"/>
      <c r="G20" s="957"/>
      <c r="H20" s="974"/>
      <c r="I20" s="975"/>
      <c r="J20" s="975"/>
      <c r="K20" s="974"/>
      <c r="L20" s="976"/>
      <c r="P20" s="839"/>
      <c r="Q20" s="838"/>
    </row>
    <row r="21" spans="1:24">
      <c r="A21" s="213"/>
      <c r="B21" s="840"/>
      <c r="C21" s="841" t="s">
        <v>23</v>
      </c>
      <c r="D21" s="842" t="s">
        <v>64</v>
      </c>
      <c r="E21" s="843" t="s">
        <v>416</v>
      </c>
      <c r="F21" s="801" t="s">
        <v>184</v>
      </c>
      <c r="G21" s="844" t="s">
        <v>2328</v>
      </c>
      <c r="H21" s="802" t="s">
        <v>2912</v>
      </c>
      <c r="I21" s="803" t="s">
        <v>2913</v>
      </c>
      <c r="J21" s="804" t="s">
        <v>2914</v>
      </c>
      <c r="K21" s="75" t="s">
        <v>2329</v>
      </c>
      <c r="L21" s="845" t="s">
        <v>2330</v>
      </c>
      <c r="P21" s="846"/>
      <c r="Q21" s="847"/>
    </row>
    <row r="22" spans="1:24">
      <c r="A22" s="213"/>
      <c r="B22" s="797" t="s">
        <v>2917</v>
      </c>
      <c r="C22" s="808">
        <f>COUNTIFS(协议类测试!A:A,"PCIe_SYS_ENUM*",协议类测试!J:J,"PASS")+COUNTIFS(协议类测试!A:A,"PCIe_SYS_ENUM*",协议类测试!K:K,"PASS")+COUNTIFS(协议类测试!A:A,"PCIe_SYS_ENUM*",协议类测试!L:L,"PASS")+COUNTIFS(协议类测试!A:A,"PCIe_SYS_ENUM*",协议类测试!M:M,"PASS")</f>
        <v>7</v>
      </c>
      <c r="D22" s="848">
        <f t="shared" ref="D22:D44" si="4">G22-C22-E22-F22</f>
        <v>0</v>
      </c>
      <c r="E22" s="810">
        <f>COUNTIFS(协议类测试!A:A,"PCIe_SYS_ENUM*",协议类测试!J:J,"NT")+COUNTIFS(协议类测试!A:A,"PCIe_SYS_ENUM*",协议类测试!K:K,"NT")+COUNTIFS(协议类测试!A:A,"PCIe_SYS_ENUM*",协议类测试!L:L,"NT")+COUNTIFS(协议类测试!A:A,"PCIe_SYS_ENUM*",协议类测试!M:M,"NT")</f>
        <v>0</v>
      </c>
      <c r="F22" s="801">
        <v>0</v>
      </c>
      <c r="G22" s="212">
        <f>COUNTIF(协议类测试!A:A,"PCIe_SYS_ENUM*")</f>
        <v>7</v>
      </c>
      <c r="H22" s="849">
        <f t="shared" ref="H22:H45" si="5">C22/G22</f>
        <v>1</v>
      </c>
      <c r="I22" s="813">
        <f t="shared" ref="I22:I45" si="6">D22/G22</f>
        <v>0</v>
      </c>
      <c r="J22" s="814">
        <f t="shared" ref="J22:J45" si="7">F22/G22</f>
        <v>0</v>
      </c>
      <c r="K22" s="850">
        <f t="shared" ref="K22:K45" si="8">SUM((C22+D22)/G22)</f>
        <v>1</v>
      </c>
      <c r="L22" s="851" t="s">
        <v>2346</v>
      </c>
      <c r="P22" s="839"/>
      <c r="Q22" s="852"/>
    </row>
    <row r="23" spans="1:24">
      <c r="A23" s="213"/>
      <c r="B23" s="797" t="s">
        <v>2348</v>
      </c>
      <c r="C23" s="808">
        <f>COUNTIFS(协议类测试!A:A,"PCIe_SYS_RST*",协议类测试!J:J,"PASS")+COUNTIFS(协议类测试!A:A,"PCIe_SYS_RST*",协议类测试!K:K,"PASS")+COUNTIFS(协议类测试!A:A,"PCIe_SYS_RST*",协议类测试!L:L,"PASS")+COUNTIFS(协议类测试!A:A,"PCIe_SYS_RST*",协议类测试!M:M,"PASS")+COUNTIFS(协议类测试!A:A,"PCIe_SYS_RST*",协议类测试!N:N,"PASS")+COUNTIFS(协议类测试!A:A,"PCIe_SYS_RST*",协议类测试!O:O,"PASS")+COUNTIFS(协议类测试!A:A,"PCIe_SYS_RST*",协议类测试!P:P,"PASS")+COUNTIFS(协议类测试!A:A,"PCIe_SYS_RST*",协议类测试!Q:Q,"PASS")+COUNTIFS(协议类测试!A:A,"PCIe_SYS_RST*",协议类测试!R:R,"PASS")+COUNTIFS(协议类测试!A:A,"PCIe_SYS_RST*",协议类测试!S:S,"PASS")+COUNTIFS(协议类测试!A:A,"PCIe_SYS_RST*",协议类测试!T:T,"PASS")+COUNTIFS(协议类测试!A:A,"PCIe_SYS_RST*",协议类测试!U:U,"PASS")+COUNTIFS(协议类测试!A:A,"PCIe_SYS_RST*",协议类测试!V:V,"PASS")</f>
        <v>7</v>
      </c>
      <c r="D23" s="848">
        <f t="shared" si="4"/>
        <v>1</v>
      </c>
      <c r="E23" s="810">
        <f>COUNTIFS(协议类测试!A:A,"PCIe_SYS_RST*",协议类测试!J:J,"NT")+COUNTIFS(协议类测试!A:A,"PCIe_SYS_RST*",协议类测试!K:K,"NT")+COUNTIFS(协议类测试!A:A,"PCIe_SYS_RST*",协议类测试!L:L,"NT")+COUNTIFS(协议类测试!A:A,"PCIe_SYS_RST*",协议类测试!M:M,"NT")</f>
        <v>0</v>
      </c>
      <c r="F23" s="853">
        <f>COUNTIFS(协议类测试!A:A,"PCIe_SYS_RST*",协议类测试!J:J,"BLOCK")+COUNTIFS(协议类测试!A:A,"PCIe_SYS_RST*",协议类测试!K:K,"BLOCK")+COUNTIFS(协议类测试!A:A,"PCIe_SYS_RST*",协议类测试!L:L,"BLOCK")+COUNTIFS(协议类测试!A:A,"PCIe_SYS_RST*",协议类测试!M:M,"BLOCK")</f>
        <v>0</v>
      </c>
      <c r="G23" s="212">
        <f>COUNTIF(协议类测试!A:A,"*RST_*")</f>
        <v>8</v>
      </c>
      <c r="H23" s="849">
        <f t="shared" si="5"/>
        <v>0.875</v>
      </c>
      <c r="I23" s="813">
        <f t="shared" si="6"/>
        <v>0.125</v>
      </c>
      <c r="J23" s="814">
        <f t="shared" si="7"/>
        <v>0</v>
      </c>
      <c r="K23" s="850">
        <f t="shared" si="8"/>
        <v>1</v>
      </c>
      <c r="L23" s="851" t="s">
        <v>2916</v>
      </c>
      <c r="P23" s="839"/>
      <c r="Q23" s="852"/>
    </row>
    <row r="24" spans="1:24">
      <c r="A24" s="213"/>
      <c r="B24" s="797" t="s">
        <v>2350</v>
      </c>
      <c r="C24" s="808">
        <f>COUNTIFS(协议类测试!A:A,"PCIe_SYS_MEM*",协议类测试!J:J,"PASS")+COUNTIFS(协议类测试!A:A,"PCIe_SYS_MEM*",协议类测试!K:K,"PASS")+COUNTIFS(协议类测试!A:A,"PCIe_SYS_MEM*",协议类测试!L:L,"PASS")+COUNTIFS(协议类测试!A:A,"PCIe_SYS_MEM*",协议类测试!M:M,"PASS")+COUNTIFS(协议类测试!A:A,"PCIe_SYS_MEM*",协议类测试!N:N,"PASS")+COUNTIFS(协议类测试!A:A,"PCIe_SYS_MEM*",协议类测试!O:O,"PASS")+COUNTIFS(协议类测试!A:A,"PCIe_SYS_MEM*",协议类测试!P:P,"PASS")+COUNTIFS(协议类测试!A:A,"PCIe_SYS_MEM*",协议类测试!Q:Q,"PASS")+COUNTIFS(协议类测试!A:A,"PCIe_SYS_MEM*",协议类测试!R:R,"PASS")+COUNTIFS(协议类测试!A:A,"PCIe_SYS_MEM*",协议类测试!S:S,"PASS")+COUNTIFS(协议类测试!A:A,"PCIe_SYS_MEM*",协议类测试!T:T,"PASS")+COUNTIFS(协议类测试!A:A,"PCIe_SYS_MEM*",协议类测试!U:U,"PASS")+COUNTIFS(协议类测试!A:A,"PCIe_SYS_MEM*",协议类测试!V:V,"PASS")</f>
        <v>10</v>
      </c>
      <c r="D24" s="848">
        <f t="shared" si="4"/>
        <v>9</v>
      </c>
      <c r="E24" s="810">
        <f>COUNTIFS(协议类测试!A:A,"PCIe_SYS_MEM*",协议类测试!J:J,"NT")+COUNTIFS(协议类测试!A:A,"PCIe_SYS_MEM*",协议类测试!K:K,"NT")+COUNTIFS(协议类测试!A:A,"PCIe_SYS_MEM*",协议类测试!L:L,"NT")+COUNTIFS(协议类测试!A:A,"PCIe_SYS_MEM*",协议类测试!M:M,"NT")</f>
        <v>0</v>
      </c>
      <c r="F24" s="853">
        <f>COUNTIFS(协议类测试!A:A,"PCIe_SYS_MEM*",协议类测试!J:J,"BLOCK")+COUNTIFS(协议类测试!A:A,"PCIe_SYS_MEM*",协议类测试!K:K,"BLOCK")+COUNTIFS(协议类测试!A:A,"PCIe_SYS_MEM*",协议类测试!L:L,"BLOCK")+COUNTIFS(协议类测试!A:A,"PCIe_SYS_MEM*",协议类测试!M:M,"BLOCK")</f>
        <v>0</v>
      </c>
      <c r="G24" s="212">
        <f>COUNTIF(协议类测试!A:A,"*_MEM*")</f>
        <v>19</v>
      </c>
      <c r="H24" s="849">
        <f t="shared" si="5"/>
        <v>0.52631578947368418</v>
      </c>
      <c r="I24" s="813">
        <f t="shared" si="6"/>
        <v>0.47368421052631576</v>
      </c>
      <c r="J24" s="814">
        <f t="shared" si="7"/>
        <v>0</v>
      </c>
      <c r="K24" s="850">
        <f t="shared" si="8"/>
        <v>1</v>
      </c>
      <c r="L24" s="851" t="s">
        <v>2351</v>
      </c>
      <c r="P24" s="839"/>
      <c r="Q24" s="852"/>
    </row>
    <row r="25" spans="1:24">
      <c r="A25" s="213"/>
      <c r="B25" s="797" t="s">
        <v>2352</v>
      </c>
      <c r="C25" s="808">
        <f>COUNTIFS(协议类测试!A:A,"PCIe_SYS_CFG*",协议类测试!J:J,"PASS")+COUNTIFS(协议类测试!A:A,"PCIe_SYS_CFG*",协议类测试!K:K,"PASS")+COUNTIFS(协议类测试!A:A,"PCIe_SYS_CFG*",协议类测试!L:L,"PASS")+COUNTIFS(协议类测试!A:A,"PCIe_SYS_CFG*",协议类测试!M:M,"PASS")</f>
        <v>5</v>
      </c>
      <c r="D25" s="848">
        <f t="shared" si="4"/>
        <v>0</v>
      </c>
      <c r="E25" s="810">
        <f>COUNTIFS(协议类测试!A:A,"PCIe_SYS_CFG*",协议类测试!J:J,"NT")+COUNTIFS(协议类测试!A:A,"PCIe_SYS_CFG*",协议类测试!K:K,"NT")+COUNTIFS(协议类测试!A:A,"PCIe_SYS_CFG*",协议类测试!L:L,"NT")+COUNTIFS(协议类测试!A:A,"PCIe_SYS_CFG*",协议类测试!M:M,"NT")</f>
        <v>0</v>
      </c>
      <c r="F25" s="853">
        <f>COUNTIFS(协议类测试!A:A,"PCIe_SYS_CFG*",协议类测试!J:J,"BLOCK")+COUNTIFS(协议类测试!A:A,"PCIe_SYS_CFG*",协议类测试!K:K,"BLOCK")+COUNTIFS(协议类测试!A:A,"PCIe_SYS_CFG*",协议类测试!L:L,"BLOCK")+COUNTIFS(协议类测试!A:A,"PCIe_SYS_CFG*",协议类测试!M:M,"BLOCK")</f>
        <v>0</v>
      </c>
      <c r="G25" s="212">
        <f>COUNTIF(协议类测试!A:A,"*_CFG*")</f>
        <v>5</v>
      </c>
      <c r="H25" s="849">
        <f t="shared" si="5"/>
        <v>1</v>
      </c>
      <c r="I25" s="813">
        <f t="shared" si="6"/>
        <v>0</v>
      </c>
      <c r="J25" s="814">
        <f t="shared" si="7"/>
        <v>0</v>
      </c>
      <c r="K25" s="850">
        <f t="shared" si="8"/>
        <v>1</v>
      </c>
      <c r="L25" s="851" t="s">
        <v>2334</v>
      </c>
      <c r="P25" s="839"/>
      <c r="Q25" s="852"/>
    </row>
    <row r="26" spans="1:24">
      <c r="A26" s="213"/>
      <c r="B26" s="797" t="s">
        <v>2353</v>
      </c>
      <c r="C26" s="808">
        <f>COUNTIFS(协议类测试!A:A,"PCIe_SYS_CPL*",协议类测试!J:J,"PASS")+COUNTIFS(协议类测试!A:A,"PCIe_SYS_CPL*",协议类测试!K:K,"PASS")+COUNTIFS(协议类测试!A:A,"PCIe_SYS_CPL*",协议类测试!L:L,"PASS")+COUNTIFS(协议类测试!A:A,"PCIe_SYS_CPL*",协议类测试!M:M,"PASS")</f>
        <v>2</v>
      </c>
      <c r="D26" s="848">
        <f t="shared" si="4"/>
        <v>0</v>
      </c>
      <c r="E26" s="810">
        <f>COUNTIFS(协议类测试!A:A,"PCIe_SYS_CPL*",协议类测试!J:J,"NT")+COUNTIFS(协议类测试!A:A,"PCIe_SYS_CPL*",协议类测试!K:K,"NT")+COUNTIFS(协议类测试!A:A,"PCIe_SYS_CPL*",协议类测试!L:L,"NT")+COUNTIFS(协议类测试!A:A,"PCIe_SYS_CPL*",协议类测试!M:M,"NT")</f>
        <v>0</v>
      </c>
      <c r="F26" s="853">
        <f>COUNTIFS(协议类测试!A:A,"PCIe_SYS_CPL*",协议类测试!J:J,"BLOCK")+COUNTIFS(协议类测试!A:A,"PCIe_SYS_CPL*",协议类测试!K:K,"BLOCK")+COUNTIFS(协议类测试!A:A,"PCIe_SYS_CPL*",协议类测试!L:L,"BLOCK")+COUNTIFS(协议类测试!A:A,"PCIe_SYS_CPL*",协议类测试!M:M,"BLOCK")</f>
        <v>0</v>
      </c>
      <c r="G26" s="212">
        <f>COUNTIF(协议类测试!A:A,"*_CPL_*")</f>
        <v>2</v>
      </c>
      <c r="H26" s="849">
        <f t="shared" si="5"/>
        <v>1</v>
      </c>
      <c r="I26" s="813">
        <f t="shared" si="6"/>
        <v>0</v>
      </c>
      <c r="J26" s="814">
        <f t="shared" si="7"/>
        <v>0</v>
      </c>
      <c r="K26" s="850">
        <f t="shared" si="8"/>
        <v>1</v>
      </c>
      <c r="L26" s="851" t="s">
        <v>2334</v>
      </c>
      <c r="P26" s="839"/>
      <c r="Q26" s="852"/>
    </row>
    <row r="27" spans="1:24">
      <c r="A27" s="213"/>
      <c r="B27" s="797" t="s">
        <v>2354</v>
      </c>
      <c r="C27" s="808">
        <f>COUNTIFS(协议类测试!A:A,"PCIe_SYS_IO*",协议类测试!J:J,"PASS")+COUNTIFS(协议类测试!A:A,"PCIe_SYS_IO*",协议类测试!K:K,"PASS")+COUNTIFS(协议类测试!A:A,"PCIe_SYS_IO*",协议类测试!L:L,"PASS")+COUNTIFS(协议类测试!A:A,"PCIe_SYS_IO*",协议类测试!M:M,"PASS")</f>
        <v>4</v>
      </c>
      <c r="D27" s="848">
        <f t="shared" si="4"/>
        <v>1</v>
      </c>
      <c r="E27" s="810">
        <f>COUNTIFS(协议类测试!A:A,"PCIe_SYS_IO*",协议类测试!J:J,"NT")+COUNTIFS(协议类测试!A:A,"PCIe_SYS_IO*",协议类测试!K:K,"NT")+COUNTIFS(协议类测试!A:A,"PCIe_SYS_IO*",协议类测试!L:L,"NT")+COUNTIFS(协议类测试!A:A,"PCIe_SYS_IO*",协议类测试!M:M,"NT")</f>
        <v>0</v>
      </c>
      <c r="F27" s="853">
        <f>COUNTIFS(协议类测试!A:A,"PCIe_SYS_IO*",协议类测试!J:J,"BLOCK")+COUNTIFS(协议类测试!A:A,"PCIe_SYS_IO*",协议类测试!K:K,"BLOCK")+COUNTIFS(协议类测试!A:A,"PCIe_SYS_IO*",协议类测试!L:L,"BLOCK")+COUNTIFS(协议类测试!A:A,"PCIe_SYS_IO*",协议类测试!M:M,"BLOCK")</f>
        <v>0</v>
      </c>
      <c r="G27" s="212">
        <v>5</v>
      </c>
      <c r="H27" s="849">
        <f t="shared" si="5"/>
        <v>0.8</v>
      </c>
      <c r="I27" s="813">
        <f t="shared" si="6"/>
        <v>0.2</v>
      </c>
      <c r="J27" s="814">
        <f t="shared" si="7"/>
        <v>0</v>
      </c>
      <c r="K27" s="850">
        <f t="shared" si="8"/>
        <v>1</v>
      </c>
      <c r="L27" s="851" t="s">
        <v>2346</v>
      </c>
      <c r="P27" s="839"/>
      <c r="Q27" s="852"/>
    </row>
    <row r="28" spans="1:24">
      <c r="A28" s="213"/>
      <c r="B28" s="797" t="s">
        <v>2356</v>
      </c>
      <c r="C28" s="808">
        <f>COUNTIFS(协议类测试!A:A,"PCIe_SYS_MSG*",协议类测试!J:J,"PASS")+COUNTIFS(协议类测试!A:A,"PCIe_SYS_MSG*",协议类测试!K:K,"PASS")+COUNTIFS(协议类测试!A:A,"PCIe_SYS_MSG*",协议类测试!L:L,"PASS")+COUNTIFS(协议类测试!A:A,"PCIe_SYS_MSG*",协议类测试!M:M,"PASS")++COUNTIFS(协议类测试!A:A,"PCIe_SYS_MSG*",协议类测试!S:S,"PASS")</f>
        <v>10</v>
      </c>
      <c r="D28" s="848">
        <f t="shared" si="4"/>
        <v>2</v>
      </c>
      <c r="E28" s="810">
        <f>COUNTIFS(协议类测试!A:A,"PCIe_SYS_MSG*",协议类测试!J:J,"NT")+COUNTIFS(协议类测试!A:A,"PCIe_SYS_MSG*",协议类测试!K:K,"NT")+COUNTIFS(协议类测试!A:A,"PCIe_SYS_MSG*",协议类测试!L:L,"NT")+COUNTIFS(协议类测试!A:A,"PCIe_SYS_MSG*",协议类测试!M:M,"NT")</f>
        <v>0</v>
      </c>
      <c r="F28" s="853">
        <f>COUNTIFS(协议类测试!A:A,"PCIe_SYS_MSG*",协议类测试!J:J,"BLOCK")+COUNTIFS(协议类测试!A:A,"PCIe_SYS_MSG*",协议类测试!K:K,"BLOCK")+COUNTIFS(协议类测试!A:A,"PCIe_SYS_MSG*",协议类测试!L:L,"BLOCK")+COUNTIFS(协议类测试!A:A,"PCIe_SYS_MSG*",协议类测试!M:M,"BLOCK")</f>
        <v>0</v>
      </c>
      <c r="G28" s="212">
        <f>COUNTIF(协议类测试!A:A,"*MSG*")</f>
        <v>12</v>
      </c>
      <c r="H28" s="849">
        <f t="shared" si="5"/>
        <v>0.83333333333333337</v>
      </c>
      <c r="I28" s="813">
        <f t="shared" si="6"/>
        <v>0.16666666666666666</v>
      </c>
      <c r="J28" s="814">
        <f t="shared" si="7"/>
        <v>0</v>
      </c>
      <c r="K28" s="850">
        <f t="shared" si="8"/>
        <v>1</v>
      </c>
      <c r="L28" s="851" t="s">
        <v>2351</v>
      </c>
      <c r="P28" s="839"/>
      <c r="Q28" s="852"/>
    </row>
    <row r="29" spans="1:24">
      <c r="A29" s="213"/>
      <c r="B29" s="797" t="s">
        <v>2357</v>
      </c>
      <c r="C29" s="808">
        <f>COUNTIFS(协议类测试!A:A,"PCIe_SYS_INT*",协议类测试!J:J,"PASS")+COUNTIFS(协议类测试!A:A,"PCIe_SYS_INT*",协议类测试!K:K,"PASS")+COUNTIFS(协议类测试!A:A,"PCIe_SYS_INT*",协议类测试!L:L,"PASS")+COUNTIFS(协议类测试!A:A,"PCIe_SYS_INT*",协议类测试!M:M,"PASS")++COUNTIFS(协议类测试!A:A,"PCIe_SYS_INT*",协议类测试!S:S,"PASS")</f>
        <v>4</v>
      </c>
      <c r="D29" s="848">
        <f t="shared" si="4"/>
        <v>2</v>
      </c>
      <c r="E29" s="810">
        <f>COUNTIFS(协议类测试!A:A,"PCIe_SYS_INT*",协议类测试!J:J,"NT")+COUNTIFS(协议类测试!A:A,"PCIe_SYS_INT*",协议类测试!K:K,"NT")+COUNTIFS(协议类测试!A:A,"PCIe_SYS_INT*",协议类测试!L:L,"NT")+COUNTIFS(协议类测试!A:A,"PCIe_SYS_INT*",协议类测试!M:M,"NT")</f>
        <v>0</v>
      </c>
      <c r="F29" s="853">
        <f>COUNTIFS(协议类测试!A:A,"PCIe_SYS_INT*",协议类测试!J:J,"BLOCK")+COUNTIFS(协议类测试!A:A,"PCIe_SYS_INT*",协议类测试!K:K,"BLOCK")+COUNTIFS(协议类测试!A:A,"PCIe_SYS_INT*",协议类测试!L:L,"BLOCK")+COUNTIFS(协议类测试!A:A,"PCIe_SYS_INT*",协议类测试!M:M,"BLOCK")</f>
        <v>0</v>
      </c>
      <c r="G29" s="212">
        <f>COUNTIF(协议类测试!A:A,"*INT*")</f>
        <v>6</v>
      </c>
      <c r="H29" s="849">
        <f t="shared" si="5"/>
        <v>0.66666666666666663</v>
      </c>
      <c r="I29" s="813">
        <f t="shared" si="6"/>
        <v>0.33333333333333331</v>
      </c>
      <c r="J29" s="814">
        <f t="shared" si="7"/>
        <v>0</v>
      </c>
      <c r="K29" s="850">
        <f t="shared" si="8"/>
        <v>1</v>
      </c>
      <c r="L29" s="851" t="s">
        <v>2346</v>
      </c>
      <c r="P29" s="839"/>
      <c r="Q29" s="852"/>
    </row>
    <row r="30" spans="1:24">
      <c r="A30" s="213"/>
      <c r="B30" s="797" t="s">
        <v>2358</v>
      </c>
      <c r="C30" s="808">
        <f>COUNTIFS(协议类测试!A:A,"PCIe_SYS_ATOMIC*",协议类测试!J:J,"PASS")+COUNTIFS(协议类测试!A:A,"PCIe_SYS_ATOMIC*",协议类测试!K:K,"PASS")+COUNTIFS(协议类测试!A:A,"PCIe_SYS_ATOMIC*",协议类测试!L:L,"PASS")+COUNTIFS(协议类测试!A:A,"PCIe_SYS_ATOMIC*",协议类测试!M:M,"PASS")</f>
        <v>0</v>
      </c>
      <c r="D30" s="848">
        <f t="shared" si="4"/>
        <v>10</v>
      </c>
      <c r="E30" s="810">
        <f>COUNTIFS(协议类测试!A:A,"PCIe_SYS_ATOMIC*",协议类测试!J:J,"NT")+COUNTIFS(协议类测试!A:A,"PCIe_SYS_ATOMIC*",协议类测试!K:K,"NT")+COUNTIFS(协议类测试!A:A,"PCIe_SYS_ATOMIC*",协议类测试!L:L,"NT")+COUNTIFS(协议类测试!A:A,"PCIe_SYS_ATOMIC*",协议类测试!M:M,"NT")</f>
        <v>0</v>
      </c>
      <c r="F30" s="853">
        <f>COUNTIFS(协议类测试!A:A,"PCIe_SYS_ATOMIC*",协议类测试!J:J,"BLOCK")+COUNTIFS(协议类测试!A:A,"PCIe_SYS_ATOMIC*",协议类测试!K:K,"BLOCK")+COUNTIFS(协议类测试!A:A,"PCIe_SYS_ATOMIC*",协议类测试!L:L,"BLOCK")+COUNTIFS(协议类测试!A:A,"PCIe_SYS_ATOMIC*",协议类测试!M:M,"BLOCK")</f>
        <v>0</v>
      </c>
      <c r="G30" s="212">
        <f>COUNTIF(协议类测试!A:A,"*ATOMIC*")</f>
        <v>10</v>
      </c>
      <c r="H30" s="849">
        <f t="shared" si="5"/>
        <v>0</v>
      </c>
      <c r="I30" s="813">
        <f t="shared" si="6"/>
        <v>1</v>
      </c>
      <c r="J30" s="814">
        <f t="shared" si="7"/>
        <v>0</v>
      </c>
      <c r="K30" s="850">
        <f t="shared" si="8"/>
        <v>1</v>
      </c>
      <c r="L30" s="851" t="s">
        <v>2334</v>
      </c>
      <c r="P30" s="839"/>
      <c r="Q30" s="852"/>
    </row>
    <row r="31" spans="1:24">
      <c r="A31" s="213"/>
      <c r="B31" s="797" t="s">
        <v>2360</v>
      </c>
      <c r="C31" s="808">
        <f>COUNTIFS(协议类测试!A:A,"PCIe_SYS_SLOT*",协议类测试!J:J,"PASS")+COUNTIFS(协议类测试!A:A,"PCIe_SYS_SLOT*",协议类测试!K:K,"PASS")+COUNTIFS(协议类测试!A:A,"PCIe_SYS_SLOT*",协议类测试!L:L,"PASS")+COUNTIFS(协议类测试!A:A,"PCIe_SYS_SLOT*",协议类测试!M:M,"PASS")++COUNTIFS(协议类测试!A:A,"PCIe_SYS_SLOT*",协议类测试!S:S,"PASS")</f>
        <v>11</v>
      </c>
      <c r="D31" s="848">
        <f t="shared" si="4"/>
        <v>2</v>
      </c>
      <c r="E31" s="810">
        <f>COUNTIFS(协议类测试!A:A,"PCIe_SYS_SLOT*",协议类测试!J:J,"NT")+COUNTIFS(协议类测试!A:A,"PCIe_SYS_SLOT*",协议类测试!K:K,"NT")+COUNTIFS(协议类测试!A:A,"PCIe_SYS_SLOT*",协议类测试!L:L,"NT")+COUNTIFS(协议类测试!A:A,"PCIe_SYS_SLOT*",协议类测试!M:M,"NT")</f>
        <v>0</v>
      </c>
      <c r="F31" s="853">
        <f>COUNTIFS(协议类测试!A:A,"PCIe_SYS_SLOT*",协议类测试!J:J,"BLOCK")+COUNTIFS(协议类测试!A:A,"PCIe_SYS_SLOT*",协议类测试!K:K,"BLOCK")+COUNTIFS(协议类测试!A:A,"PCIe_SYS_SLOT*",协议类测试!L:L,"BLOCK")+COUNTIFS(协议类测试!A:A,"PCIe_SYS_SLOT*",协议类测试!M:M,"BLOCK")</f>
        <v>0</v>
      </c>
      <c r="G31" s="212">
        <f>COUNTIF(协议类测试!A:A,"*SLOT*")</f>
        <v>13</v>
      </c>
      <c r="H31" s="849">
        <f t="shared" si="5"/>
        <v>0.84615384615384615</v>
      </c>
      <c r="I31" s="813">
        <f t="shared" si="6"/>
        <v>0.15384615384615385</v>
      </c>
      <c r="J31" s="814">
        <f t="shared" si="7"/>
        <v>0</v>
      </c>
      <c r="K31" s="850">
        <f t="shared" si="8"/>
        <v>1</v>
      </c>
      <c r="L31" s="851" t="s">
        <v>2346</v>
      </c>
      <c r="P31" s="839"/>
      <c r="Q31" s="852"/>
    </row>
    <row r="32" spans="1:24">
      <c r="A32" s="213"/>
      <c r="B32" s="797" t="s">
        <v>2361</v>
      </c>
      <c r="C32" s="808">
        <f>COUNTIFS(协议类测试!A:A,"PCIe_SYS_MPS*",协议类测试!J:J,"PASS")+COUNTIFS(协议类测试!A:A,"PCIe_SYS_MPS*",协议类测试!K:K,"PASS")+COUNTIFS(协议类测试!A:A,"PCIe_SYS_MPS*",协议类测试!L:L,"PASS")+COUNTIFS(协议类测试!A:A,"PCIe_SYS_MPS*",协议类测试!M:M,"PASS")</f>
        <v>6</v>
      </c>
      <c r="D32" s="848">
        <f t="shared" si="4"/>
        <v>1</v>
      </c>
      <c r="E32" s="810">
        <f>COUNTIFS(协议类测试!A:A,"PCIe_SYS_MPS*",协议类测试!J:J,"NT")+COUNTIFS(协议类测试!A:A,"PCIe_SYS_MPS*",协议类测试!K:K,"NT")+COUNTIFS(协议类测试!A:A,"PCIe_SYS_MPS*",协议类测试!L:L,"NT")+COUNTIFS(协议类测试!A:A,"PCIe_SYS_MPS*",协议类测试!M:M,"NT")</f>
        <v>0</v>
      </c>
      <c r="F32" s="853">
        <f>COUNTIFS(协议类测试!A:A,"PCIe_SYS_MPS*",协议类测试!J:J,"BLOCK")+COUNTIFS(协议类测试!A:A,"PCIe_SYS_MPS*",协议类测试!K:K,"BLOCK")+COUNTIFS(协议类测试!A:A,"PCIe_SYS_MPS*",协议类测试!L:L,"BLOCK")+COUNTIFS(协议类测试!A:A,"PCIe_SYS_MPS*",协议类测试!M:M,"BLOCK")</f>
        <v>0</v>
      </c>
      <c r="G32" s="212">
        <f>COUNTIF(协议类测试!A:A,"*MPS*")</f>
        <v>7</v>
      </c>
      <c r="H32" s="849">
        <f t="shared" si="5"/>
        <v>0.8571428571428571</v>
      </c>
      <c r="I32" s="813">
        <f t="shared" si="6"/>
        <v>0.14285714285714285</v>
      </c>
      <c r="J32" s="814">
        <f t="shared" si="7"/>
        <v>0</v>
      </c>
      <c r="K32" s="850">
        <f t="shared" si="8"/>
        <v>1</v>
      </c>
      <c r="L32" s="851" t="s">
        <v>2334</v>
      </c>
      <c r="P32" s="839"/>
      <c r="Q32" s="852"/>
    </row>
    <row r="33" spans="1:17">
      <c r="A33" s="213"/>
      <c r="B33" s="797" t="s">
        <v>2362</v>
      </c>
      <c r="C33" s="808">
        <f>COUNTIFS(协议类测试!A:A,"PCIe_SYS_ATTR*",协议类测试!J:J,"PASS")+COUNTIFS(协议类测试!A:A,"PCIe_SYS_ATTR*",协议类测试!K:K,"PASS")+COUNTIFS(协议类测试!A:A,"PCIe_SYS_ATTR*",协议类测试!L:L,"PASS")+COUNTIFS(协议类测试!A:A,"PCIe_SYS_ATTR*",协议类测试!M:M,"PASS")++COUNTIFS(协议类测试!A:A,"PCIe_SYS_ATTR*",协议类测试!S:S,"PASS")</f>
        <v>8</v>
      </c>
      <c r="D33" s="848">
        <f t="shared" si="4"/>
        <v>2</v>
      </c>
      <c r="E33" s="810">
        <f>COUNTIFS(协议类测试!A:A,"PCIe_SYS_ATTR*",协议类测试!J:J,"NT")+COUNTIFS(协议类测试!A:A,"PCIe_SYS_ATTR*",协议类测试!K:K,"NT")+COUNTIFS(协议类测试!A:A,"PCIe_SYS_ATTR*",协议类测试!L:L,"NT")+COUNTIFS(协议类测试!A:A,"PCIe_SYS_ATTR*",协议类测试!M:M,"NT")</f>
        <v>0</v>
      </c>
      <c r="F33" s="853">
        <f>COUNTIFS(协议类测试!A:A,"PCIe_SYS_ATTR*",协议类测试!J:J,"BLOCK")+COUNTIFS(协议类测试!A:A,"PCIe_SYS_ATTR*",协议类测试!K:K,"BLOCK")+COUNTIFS(协议类测试!A:A,"PCIe_SYS_ATTR*",协议类测试!L:L,"BLOCK")+COUNTIFS(协议类测试!A:A,"PCIe_SYS_ATTR*",协议类测试!M:M,"BLOCK")</f>
        <v>0</v>
      </c>
      <c r="G33" s="212">
        <f>COUNTIF(协议类测试!A:A,"*ATTR*")</f>
        <v>10</v>
      </c>
      <c r="H33" s="849">
        <f t="shared" si="5"/>
        <v>0.8</v>
      </c>
      <c r="I33" s="813">
        <f t="shared" si="6"/>
        <v>0.2</v>
      </c>
      <c r="J33" s="814">
        <f t="shared" si="7"/>
        <v>0</v>
      </c>
      <c r="K33" s="850">
        <f t="shared" si="8"/>
        <v>1</v>
      </c>
      <c r="L33" s="851" t="s">
        <v>2334</v>
      </c>
      <c r="P33" s="839"/>
      <c r="Q33" s="852"/>
    </row>
    <row r="34" spans="1:17">
      <c r="A34" s="213"/>
      <c r="B34" s="797" t="s">
        <v>2364</v>
      </c>
      <c r="C34" s="808">
        <f>COUNTIFS(协议类测试!A:A,"PCIe_SYS_TAG*",协议类测试!J:J,"PASS")+COUNTIFS(协议类测试!A:A,"PCIe_SYS_TAG*",协议类测试!K:K,"PASS")+COUNTIFS(协议类测试!A:A,"PCIe_SYS_TAG*",协议类测试!L:L,"PASS")+COUNTIFS(协议类测试!A:A,"PCIe_SYS_TAG*",协议类测试!M:M,"PASS")+COUNTIFS(协议类测试!A:A,"PCIe_SYS_TAG*",协议类测试!S:S,"PASS")</f>
        <v>1</v>
      </c>
      <c r="D34" s="848">
        <f t="shared" si="4"/>
        <v>0</v>
      </c>
      <c r="E34" s="810">
        <f>COUNTIFS(协议类测试!A:A,"PCIe_SYS_TAG*",协议类测试!J:J,"NT")+COUNTIFS(协议类测试!A:A,"PCIe_SYS_TAG*",协议类测试!K:K,"NT")+COUNTIFS(协议类测试!A:A,"PCIe_SYS_TAG*",协议类测试!L:L,"NT")+COUNTIFS(协议类测试!A:A,"PCIe_SYS_TAG*",协议类测试!M:M,"NT")</f>
        <v>0</v>
      </c>
      <c r="F34" s="853">
        <f>COUNTIFS(协议类测试!A:A,"PCIe_SYS_TAG*",协议类测试!J:J,"BLOCK")+COUNTIFS(协议类测试!A:A,"PCIe_SYS_TAG*",协议类测试!K:K,"BLOCK")+COUNTIFS(协议类测试!A:A,"PCIe_SYS_TAG*",协议类测试!L:L,"BLOCK")+COUNTIFS(协议类测试!A:A,"PCIe_SYS_TAG*",协议类测试!M:M,"BLOCK")</f>
        <v>0</v>
      </c>
      <c r="G34" s="212">
        <f>COUNTIF(协议类测试!A:A,"*TAG*")</f>
        <v>1</v>
      </c>
      <c r="H34" s="849">
        <f t="shared" si="5"/>
        <v>1</v>
      </c>
      <c r="I34" s="813">
        <f t="shared" si="6"/>
        <v>0</v>
      </c>
      <c r="J34" s="814">
        <f t="shared" si="7"/>
        <v>0</v>
      </c>
      <c r="K34" s="850">
        <f t="shared" si="8"/>
        <v>1</v>
      </c>
      <c r="L34" s="851" t="s">
        <v>2334</v>
      </c>
      <c r="P34" s="839"/>
      <c r="Q34" s="852"/>
    </row>
    <row r="35" spans="1:17">
      <c r="A35" s="213"/>
      <c r="B35" s="797" t="s">
        <v>2365</v>
      </c>
      <c r="C35" s="808">
        <f>COUNTIFS(协议类测试!A:A,"PCIe_SYS_ARI*",协议类测试!J:J,"PASS")+COUNTIFS(协议类测试!A:A,"PCIe_SYS_ARI*",协议类测试!K:K,"PASS")+COUNTIFS(协议类测试!A:A,"PCIe_SYS_ARI*",协议类测试!L:L,"PASS")+COUNTIFS(协议类测试!A:A,"PCIe_SYS_ARI*",协议类测试!M:M,"PASS")++COUNTIFS(协议类测试!A:A,"PCIe_SYS_ARI*",协议类测试!S:S,"PASS")</f>
        <v>0</v>
      </c>
      <c r="D35" s="848">
        <f t="shared" si="4"/>
        <v>1</v>
      </c>
      <c r="E35" s="810">
        <f>COUNTIFS(协议类测试!A:A,"PCIe_SYS_ARI*",协议类测试!J:J,"NT")+COUNTIFS(协议类测试!A:A,"PCIe_SYS_ARI*",协议类测试!K:K,"NT")+COUNTIFS(协议类测试!A:A,"PCIe_SYS_ARI*",协议类测试!L:L,"NT")+COUNTIFS(协议类测试!A:A,"PCIe_SYS_ARI*",协议类测试!M:M,"NT")</f>
        <v>0</v>
      </c>
      <c r="F35" s="853">
        <f>COUNTIFS(协议类测试!A:A,"PCIe_SYS_ARI*",协议类测试!J:J,"BLOCK")+COUNTIFS(协议类测试!A:A,"PCIe_SYS_ARI*",协议类测试!K:K,"BLOCK")+COUNTIFS(协议类测试!A:A,"PCIe_SYS_ARI*",协议类测试!L:L,"BLOCK")+COUNTIFS(协议类测试!A:A,"PCIe_SYS_ARI*",协议类测试!M:M,"BLOCK")</f>
        <v>0</v>
      </c>
      <c r="G35" s="212">
        <f>COUNTIF(协议类测试!A:A,"*_ARI*")</f>
        <v>1</v>
      </c>
      <c r="H35" s="849">
        <f t="shared" si="5"/>
        <v>0</v>
      </c>
      <c r="I35" s="813">
        <f t="shared" si="6"/>
        <v>1</v>
      </c>
      <c r="J35" s="814">
        <f t="shared" si="7"/>
        <v>0</v>
      </c>
      <c r="K35" s="850">
        <f t="shared" si="8"/>
        <v>1</v>
      </c>
      <c r="L35" s="851" t="s">
        <v>2351</v>
      </c>
      <c r="P35" s="839"/>
      <c r="Q35" s="852"/>
    </row>
    <row r="36" spans="1:17">
      <c r="A36" s="213"/>
      <c r="B36" s="797" t="s">
        <v>2366</v>
      </c>
      <c r="C36" s="808">
        <f>COUNTIFS(协议类测试!A:A,"PCIe_SYS_LOCKED*",协议类测试!J:J,"PASS")+COUNTIFS(协议类测试!A:A,"PCIe_SYS_LOCKED*",协议类测试!K:K,"PASS")+COUNTIFS(协议类测试!A:A,"PCIe_SYS_LOCKED*",协议类测试!L:L,"PASS")+COUNTIFS(协议类测试!A:A,"PCIe_SYS_LOCKED*",协议类测试!M:M,"PASS")</f>
        <v>0</v>
      </c>
      <c r="D36" s="848">
        <f t="shared" si="4"/>
        <v>3</v>
      </c>
      <c r="E36" s="810">
        <f>COUNTIFS(协议类测试!A:A,"PCIe_SYS_LOCKED*",协议类测试!J:J,"NT")+COUNTIFS(协议类测试!A:A,"PCIe_SYS_LOCKED*",协议类测试!K:K,"NT")+COUNTIFS(协议类测试!A:A,"PCIe_SYS_LOCKED*",协议类测试!L:L,"NT")+COUNTIFS(协议类测试!A:A,"PCIe_SYS_LOCKED*",协议类测试!M:M,"NT")</f>
        <v>0</v>
      </c>
      <c r="F36" s="853">
        <f>COUNTIFS(协议类测试!A:A,"PCIe_SYS_LOCKED*",协议类测试!J:J,"BLOCK")+COUNTIFS(协议类测试!A:A,"PCIe_SYS_LOCKED*",协议类测试!K:K,"BLOCK")+COUNTIFS(协议类测试!A:A,"PCIe_SYS_LOCKED*",协议类测试!L:L,"BLOCK")+COUNTIFS(协议类测试!A:A,"PCIe_SYS_LOCKED*",协议类测试!M:M,"BLOCK")</f>
        <v>0</v>
      </c>
      <c r="G36" s="212">
        <f>COUNTIF(协议类测试!A:A,"*LOCKED*")</f>
        <v>3</v>
      </c>
      <c r="H36" s="849">
        <f t="shared" si="5"/>
        <v>0</v>
      </c>
      <c r="I36" s="813">
        <f t="shared" si="6"/>
        <v>1</v>
      </c>
      <c r="J36" s="814">
        <f t="shared" si="7"/>
        <v>0</v>
      </c>
      <c r="K36" s="850">
        <f t="shared" si="8"/>
        <v>1</v>
      </c>
      <c r="L36" s="851" t="s">
        <v>2351</v>
      </c>
      <c r="P36" s="839"/>
      <c r="Q36" s="852"/>
    </row>
    <row r="37" spans="1:17">
      <c r="A37" s="213"/>
      <c r="B37" s="797" t="s">
        <v>2367</v>
      </c>
      <c r="C37" s="808">
        <f>COUNTIFS(协议类测试!A:A,"PCIe_SYS_ERR*",协议类测试!J:J,"PASS")+COUNTIFS(协议类测试!A:A,"PCIe_SYS_ERR*",协议类测试!K:K,"PASS")+COUNTIFS(协议类测试!A:A,"PCIe_SYS_ERR*",协议类测试!L:L,"PASS")+COUNTIFS(协议类测试!A:A,"PCIe_SYS_ERR*",协议类测试!M:M,"PASS")</f>
        <v>3</v>
      </c>
      <c r="D37" s="848">
        <f t="shared" si="4"/>
        <v>0</v>
      </c>
      <c r="E37" s="810">
        <f>COUNTIFS(协议类测试!A:A,"PCIe_SYS_ERR*",协议类测试!J:J,"NT")+COUNTIFS(协议类测试!A:A,"PCIe_SYS_ERR*",协议类测试!K:K,"NT")+COUNTIFS(协议类测试!A:A,"PCIe_SYS_ERR*",协议类测试!L:L,"NT")+COUNTIFS(协议类测试!A:A,"PCIe_SYS_ERR*",协议类测试!M:M,"NT")</f>
        <v>0</v>
      </c>
      <c r="F37" s="853">
        <f>COUNTIFS(协议类测试!A:A,"PCIe_SYS_ERR*",协议类测试!J:J,"BLOCK")+COUNTIFS(协议类测试!A:A,"PCIe_SYS_ERR*",协议类测试!K:K,"BLOCK")+COUNTIFS(协议类测试!A:A,"PCIe_SYS_ERR*",协议类测试!L:L,"BLOCK")+COUNTIFS(协议类测试!A:A,"PCIe_SYS_ERR*",协议类测试!M:M,"BLOCK")</f>
        <v>0</v>
      </c>
      <c r="G37" s="212">
        <f>COUNTIF(协议类测试!A:A,"*ERR_*")</f>
        <v>3</v>
      </c>
      <c r="H37" s="849">
        <f t="shared" si="5"/>
        <v>1</v>
      </c>
      <c r="I37" s="813">
        <f t="shared" si="6"/>
        <v>0</v>
      </c>
      <c r="J37" s="814">
        <f t="shared" si="7"/>
        <v>0</v>
      </c>
      <c r="K37" s="850">
        <f t="shared" si="8"/>
        <v>1</v>
      </c>
      <c r="L37" s="851" t="s">
        <v>2334</v>
      </c>
      <c r="P37" s="839"/>
      <c r="Q37" s="852"/>
    </row>
    <row r="38" spans="1:17">
      <c r="A38" s="213"/>
      <c r="B38" s="797" t="s">
        <v>2368</v>
      </c>
      <c r="C38" s="808">
        <f>COUNTIFS(协议类测试!A:A,"PCIe_SYS_AER*",协议类测试!J:J,"PASS")+COUNTIFS(协议类测试!A:A,"PCIe_SYS_AER*",协议类测试!K:K,"PASS")+COUNTIFS(协议类测试!A:A,"PCIe_SYS_AER*",协议类测试!L:L,"PASS")+COUNTIFS(协议类测试!A:A,"PCIe_SYS_AER*",协议类测试!M:M,"PASS")+COUNTIFS(协议类测试!A:A,"PCIe_SYS_AER*",协议类测试!S:S,"PASS")</f>
        <v>43</v>
      </c>
      <c r="D38" s="848">
        <f t="shared" si="4"/>
        <v>8</v>
      </c>
      <c r="E38" s="810">
        <f>COUNTIFS(协议类测试!A:A,"PCIe_SYS_AER*",协议类测试!J:J,"NT")+COUNTIFS(协议类测试!A:A,"PCIe_SYS_AER*",协议类测试!K:K,"NT")+COUNTIFS(协议类测试!A:A,"PCIe_SYS_AER*",协议类测试!L:L,"NT")+COUNTIFS(协议类测试!A:A,"PCIe_SYS_AER*",协议类测试!M:M,"NT")</f>
        <v>0</v>
      </c>
      <c r="F38" s="853">
        <f>COUNTIFS(协议类测试!A:A,"PCIe_SYS_AER*",协议类测试!J:J,"BLOCK")+COUNTIFS(协议类测试!A:A,"PCIe_SYS_AER*",协议类测试!K:K,"BLOCK")+COUNTIFS(协议类测试!A:A,"PCIe_SYS_AER*",协议类测试!L:L,"BLOCK")+COUNTIFS(协议类测试!A:A,"PCIe_SYS_AER*",协议类测试!M:M,"BLOCK"+COUNTIFS(协议类测试!A:A,"PCIe_SYS_AER*",协议类测试!S:S,"BLOCK"))</f>
        <v>0</v>
      </c>
      <c r="G38" s="212">
        <f>COUNTIF(协议类测试!A:A,"*AER*")</f>
        <v>51</v>
      </c>
      <c r="H38" s="849">
        <f t="shared" si="5"/>
        <v>0.84313725490196079</v>
      </c>
      <c r="I38" s="813">
        <f t="shared" si="6"/>
        <v>0.15686274509803921</v>
      </c>
      <c r="J38" s="814">
        <f t="shared" si="7"/>
        <v>0</v>
      </c>
      <c r="K38" s="850">
        <f t="shared" si="8"/>
        <v>1</v>
      </c>
      <c r="L38" s="851" t="s">
        <v>2334</v>
      </c>
      <c r="P38" s="839"/>
      <c r="Q38" s="852"/>
    </row>
    <row r="39" spans="1:17">
      <c r="A39" s="213"/>
      <c r="B39" s="797" t="s">
        <v>2369</v>
      </c>
      <c r="C39" s="808">
        <f>COUNTIFS(协议类测试!A:A,"PCIe_SYS_PM*",协议类测试!J:J,"PASS")+COUNTIFS(协议类测试!A:A,"PCIe_SYS_PM*",协议类测试!K:K,"PASS")+COUNTIFS(协议类测试!A:A,"PCIe_SYS_PM*",协议类测试!L:L,"PASS")+COUNTIFS(协议类测试!A:A,"PCIe_SYS_PM*",协议类测试!M:M,"PASS")+COUNTIFS(协议类测试!A:A,"PCIe_SYS_PM*",协议类测试!N:N,"PASS")</f>
        <v>8</v>
      </c>
      <c r="D39" s="848">
        <f t="shared" si="4"/>
        <v>15</v>
      </c>
      <c r="E39" s="810">
        <f>COUNTIFS(协议类测试!A:A,"PCIe_SYS_PM*",协议类测试!J:J,"NT")+COUNTIFS(协议类测试!A:A,"PCIe_SYS_PM*",协议类测试!K:K,"NT")+COUNTIFS(协议类测试!A:A,"PCIe_SYS_PM*",协议类测试!L:L,"NT")+COUNTIFS(协议类测试!A:A,"PCIe_SYS_PM*",协议类测试!M:M,"NT")</f>
        <v>0</v>
      </c>
      <c r="F39" s="853">
        <f>COUNTIFS(协议类测试!A:A,"PCIe_SYS_PM*",协议类测试!J:J,"BLOCK")+COUNTIFS(协议类测试!A:A,"PCIe_SYS_PM*",协议类测试!K:K,"BLOCK")+COUNTIFS(协议类测试!A:A,"PCIe_SYS_PM*",协议类测试!L:L,"BLOCK")+COUNTIFS(协议类测试!A:A,"PCIe_SYS_PM*",协议类测试!M:M,"BLOCK")</f>
        <v>0</v>
      </c>
      <c r="G39" s="212">
        <f>COUNTIF(协议类测试!A:A,"*PM*")</f>
        <v>23</v>
      </c>
      <c r="H39" s="849">
        <f t="shared" si="5"/>
        <v>0.34782608695652173</v>
      </c>
      <c r="I39" s="813">
        <f t="shared" si="6"/>
        <v>0.65217391304347827</v>
      </c>
      <c r="J39" s="814">
        <f t="shared" si="7"/>
        <v>0</v>
      </c>
      <c r="K39" s="850">
        <f t="shared" si="8"/>
        <v>1</v>
      </c>
      <c r="L39" s="851" t="s">
        <v>2351</v>
      </c>
      <c r="P39" s="839"/>
      <c r="Q39" s="852"/>
    </row>
    <row r="40" spans="1:17">
      <c r="A40" s="213"/>
      <c r="B40" s="797" t="s">
        <v>2370</v>
      </c>
      <c r="C40" s="808">
        <f>COUNTIFS(协议类测试!A:A,"PCIe_SYS_LINK*",协议类测试!J:J,"PASS")+COUNTIFS(协议类测试!A:A,"PCIe_SYS_LINK*",协议类测试!K:K,"PASS")+COUNTIFS(协议类测试!A:A,"PCIe_SYS_LINK*",协议类测试!L:L,"PASS")+COUNTIFS(协议类测试!A:A,"PCIe_SYS_LINK*",协议类测试!M:M,"PASS")+COUNTIFS(协议类测试!A:A,"PCIe_SYS_LINK*",协议类测试!N:N,"PASS")++COUNTIFS(协议类测试!A:A,"PCIe_SYS_LINK*",协议类测试!S:S,"PASS")</f>
        <v>6</v>
      </c>
      <c r="D40" s="848">
        <f t="shared" si="4"/>
        <v>6</v>
      </c>
      <c r="E40" s="810">
        <f>COUNTIFS(协议类测试!A:A,"PCIe_SYS_LINK*",协议类测试!J:J,"NT")+COUNTIFS(协议类测试!A:A,"PCIe_SYS_LINK*",协议类测试!K:K,"NT")+COUNTIFS(协议类测试!A:A,"PCIe_SYS_LINK*",协议类测试!L:L,"NT")+COUNTIFS(协议类测试!A:A,"PCIe_SYS_LINK*",协议类测试!M:M,"NT")</f>
        <v>0</v>
      </c>
      <c r="F40" s="853">
        <f>COUNTIFS(协议类测试!A:A,"PCIe_SYS_LINK*",协议类测试!J:J,"BLOCK")+COUNTIFS(协议类测试!A:A,"PCIe_SYS_LINK*",协议类测试!K:K,"BLOCK")+COUNTIFS(协议类测试!A:A,"PCIe_SYS_LINK*",协议类测试!L:L,"BLOCK")+COUNTIFS(协议类测试!A:A,"PCIe_SYS_LINK*",协议类测试!M:M,"BLOCK")</f>
        <v>0</v>
      </c>
      <c r="G40" s="212">
        <f>COUNTIF(协议类测试!A:A,"*LINK*")</f>
        <v>12</v>
      </c>
      <c r="H40" s="849">
        <f t="shared" si="5"/>
        <v>0.5</v>
      </c>
      <c r="I40" s="813">
        <f t="shared" si="6"/>
        <v>0.5</v>
      </c>
      <c r="J40" s="814">
        <f t="shared" si="7"/>
        <v>0</v>
      </c>
      <c r="K40" s="850">
        <f t="shared" si="8"/>
        <v>1</v>
      </c>
      <c r="L40" s="851" t="s">
        <v>2351</v>
      </c>
      <c r="P40" s="839"/>
      <c r="Q40" s="852"/>
    </row>
    <row r="41" spans="1:17">
      <c r="A41" s="213"/>
      <c r="B41" s="797" t="s">
        <v>2371</v>
      </c>
      <c r="C41" s="808">
        <f>COUNTIFS(协议类测试!A:A,"PCIe_SYS_PREFIX*",协议类测试!J:J,"PASS")+COUNTIFS(协议类测试!A:A,"PCIe_SYS_PREFIX*",协议类测试!K:K,"PASS")+COUNTIFS(协议类测试!A:A,"PCIe_SYS_PREFIX*",协议类测试!L:L,"PASS")+COUNTIFS(协议类测试!A:A,"PCIe_SYS_PREFIX*",协议类测试!M:M,"PASS")</f>
        <v>0</v>
      </c>
      <c r="D41" s="848">
        <f t="shared" si="4"/>
        <v>2</v>
      </c>
      <c r="E41" s="810">
        <f>COUNTIFS(协议类测试!A:A,"PCIe_SYS_PREFIX*",协议类测试!J:J,"NT")+COUNTIFS(协议类测试!A:A,"PCIe_SYS_PREFIX*",协议类测试!K:K,"NT")+COUNTIFS(协议类测试!A:A,"PCIe_SYS_PREFIX*",协议类测试!L:L,"NT")+COUNTIFS(协议类测试!A:A,"PCIe_SYS_PREFIX*",协议类测试!M:M,"NT")</f>
        <v>0</v>
      </c>
      <c r="F41" s="853">
        <f>COUNTIFS(协议类测试!A:A,"PCIe_SYS_PREFIX*",协议类测试!J:J,"BLOCK")+COUNTIFS(协议类测试!A:A,"PCIe_SYS_PREFIX*",协议类测试!K:K,"BLOCK")+COUNTIFS(协议类测试!A:A,"PCIe_SYS_PREFIX*",协议类测试!L:L,"BLOCK")+COUNTIFS(协议类测试!A:A,"PCIe_SYS_PREFIX*",协议类测试!M:M,"BLOCK")</f>
        <v>0</v>
      </c>
      <c r="G41" s="212">
        <f>COUNTIF(协议类测试!A:A,"*PREFIX*")</f>
        <v>2</v>
      </c>
      <c r="H41" s="849">
        <f t="shared" si="5"/>
        <v>0</v>
      </c>
      <c r="I41" s="813">
        <f t="shared" si="6"/>
        <v>1</v>
      </c>
      <c r="J41" s="814">
        <f t="shared" si="7"/>
        <v>0</v>
      </c>
      <c r="K41" s="850">
        <f t="shared" si="8"/>
        <v>1</v>
      </c>
      <c r="L41" s="851" t="s">
        <v>2351</v>
      </c>
      <c r="P41" s="839"/>
      <c r="Q41" s="852"/>
    </row>
    <row r="42" spans="1:17">
      <c r="A42" s="213"/>
      <c r="B42" s="797" t="s">
        <v>2372</v>
      </c>
      <c r="C42" s="808">
        <f>COUNTIFS(协议类测试!A:A,"PCIe_SYS_DPC*",协议类测试!J:J,"PASS")+COUNTIFS(协议类测试!A:A,"PCIe_SYS_DPC*",协议类测试!K:K,"PASS")+COUNTIFS(协议类测试!A:A,"PCIe_SYS_DPC*",协议类测试!L:L,"PASS")+COUNTIFS(协议类测试!A:A,"PCIe_SYS_DPC*",协议类测试!M:M,"PASS")++COUNTIFS(协议类测试!A:A,"PCIe_SYS_DPC*",协议类测试!S:S,"PASS")</f>
        <v>4</v>
      </c>
      <c r="D42" s="848">
        <f t="shared" si="4"/>
        <v>5</v>
      </c>
      <c r="E42" s="810">
        <f>COUNTIFS(协议类测试!A:A,"PCIe_SYS_DPC*",协议类测试!J:J,"NT")+COUNTIFS(协议类测试!A:A,"PCIe_SYS_DPC*",协议类测试!K:K,"NT")+COUNTIFS(协议类测试!A:A,"PCIe_SYS_DPC*",协议类测试!L:L,"NT")+COUNTIFS(协议类测试!A:A,"PCIe_SYS_DPC*",协议类测试!M:M,"NT")</f>
        <v>0</v>
      </c>
      <c r="F42" s="853">
        <f>COUNTIFS(协议类测试!A:A,"PCIe_SYS_DPC*",协议类测试!J:J,"BLOCK")+COUNTIFS(协议类测试!A:A,"PCIe_SYS_DPC*",协议类测试!K:K,"BLOCK")+COUNTIFS(协议类测试!A:A,"PCIe_SYS_DPC*",协议类测试!L:L,"BLOCK")+COUNTIFS(协议类测试!A:A,"PCIe_SYS_DPC*",协议类测试!M:M,"BLOCK")</f>
        <v>0</v>
      </c>
      <c r="G42" s="212">
        <f>COUNTIF(协议类测试!A:A,"*DPC*")</f>
        <v>9</v>
      </c>
      <c r="H42" s="849">
        <f t="shared" si="5"/>
        <v>0.44444444444444442</v>
      </c>
      <c r="I42" s="813">
        <f t="shared" si="6"/>
        <v>0.55555555555555558</v>
      </c>
      <c r="J42" s="814">
        <f t="shared" si="7"/>
        <v>0</v>
      </c>
      <c r="K42" s="850">
        <f t="shared" si="8"/>
        <v>1</v>
      </c>
      <c r="L42" s="851" t="s">
        <v>2334</v>
      </c>
      <c r="P42" s="839"/>
      <c r="Q42" s="852"/>
    </row>
    <row r="43" spans="1:17">
      <c r="A43" s="213"/>
      <c r="B43" s="797" t="s">
        <v>2373</v>
      </c>
      <c r="C43" s="808">
        <f>COUNTIFS(协议类测试!A:A,"PCIe_SYS_HP*",协议类测试!J:J,"PASS")+COUNTIFS(协议类测试!A:A,"PCIe_SYS_HP*",协议类测试!K:K,"PASS")+COUNTIFS(协议类测试!A:A,"PCIe_SYS_HP*",协议类测试!L:L,"PASS")+COUNTIFS(协议类测试!A:A,"PCIe_SYS_HP*",协议类测试!M:M,"PASS")+COUNTIFS(协议类测试!A:A,"PCIe_SYS_HP*",协议类测试!N:N,"PASS")+COUNTIFS(协议类测试!A:A,"PCIe_SYS_HP*",协议类测试!O:O,"PASS")++COUNTIFS(协议类测试!A:A,"PCIe_SYS_HP*",协议类测试!S:S,"PASS")</f>
        <v>15</v>
      </c>
      <c r="D43" s="848">
        <f t="shared" si="4"/>
        <v>2</v>
      </c>
      <c r="E43" s="810">
        <f>COUNTIFS(协议类测试!A:A,"PCIe_SYS_HP*",协议类测试!J:J,"NT")+COUNTIFS(协议类测试!A:A,"PCIe_SYS_HP*",协议类测试!K:K,"NT")+COUNTIFS(协议类测试!A:A,"PCIe_SYS_HP*",协议类测试!L:L,"NT")+COUNTIFS(协议类测试!A:A,"PCIe_SYS_HP*",协议类测试!M:M,"NT")+COUNTIFS(协议类测试!A:A,"PCIe_SYS_HP*",协议类测试!N:N,"NT")+COUNTIFS(协议类测试!A:A,"PCIe_SYS_HP*",协议类测试!O:O,"NT")</f>
        <v>0</v>
      </c>
      <c r="F43" s="853">
        <f>COUNTIFS(协议类测试!A:A,"PCIe_SYS_HP*",协议类测试!J:J,"BLOCK")+COUNTIFS(协议类测试!A:A,"PCIe_SYS_HP*",协议类测试!K:K,"BLOCK")+COUNTIFS(协议类测试!A:A,"PCIe_SYS_HP*",协议类测试!L:L,"BLOCK")+COUNTIFS(协议类测试!A:A,"PCIe_SYS_HP*",协议类测试!M:M,"BLOCK")+COUNTIFS(协议类测试!A:A,"PCIe_SYS_HP*",协议类测试!N:N,"BLOCK")+COUNTIFS(协议类测试!A:A,"PCIe_SYS_HP*",协议类测试!O:O,"BLOCK")</f>
        <v>0</v>
      </c>
      <c r="G43" s="212">
        <f>COUNTIF(协议类测试!A:A,"*HP*")</f>
        <v>17</v>
      </c>
      <c r="H43" s="849">
        <f t="shared" si="5"/>
        <v>0.88235294117647056</v>
      </c>
      <c r="I43" s="813">
        <f t="shared" si="6"/>
        <v>0.11764705882352941</v>
      </c>
      <c r="J43" s="814">
        <f t="shared" si="7"/>
        <v>0</v>
      </c>
      <c r="K43" s="850">
        <f t="shared" si="8"/>
        <v>1</v>
      </c>
      <c r="L43" s="851" t="s">
        <v>2334</v>
      </c>
      <c r="P43" s="839"/>
      <c r="Q43" s="852"/>
    </row>
    <row r="44" spans="1:17">
      <c r="A44" s="213"/>
      <c r="B44" s="797" t="s">
        <v>2374</v>
      </c>
      <c r="C44" s="808">
        <f>COUNTIFS(协议类测试!A:A,"PCIe_SYS_NPEM*",协议类测试!J:J,"PASS")+COUNTIFS(协议类测试!A:A,"PCIe_SYS_NPEM*",协议类测试!K:K,"PASS")+COUNTIFS(协议类测试!A:A,"PCIe_SYS_NPEM*",协议类测试!L:L,"PASS")+COUNTIFS(协议类测试!A:A,"PCIe_SYS_NPEM*",协议类测试!M:M,"PASS")++COUNTIFS(协议类测试!A:A,"PCIe_SYS_NPEM*",协议类测试!S:S,"PASS")</f>
        <v>10</v>
      </c>
      <c r="D44" s="848">
        <f t="shared" si="4"/>
        <v>1</v>
      </c>
      <c r="E44" s="810">
        <f>COUNTIFS(协议类测试!A:A,"PCIe_SYS_NPEM*",协议类测试!J:J,"NT")+COUNTIFS(协议类测试!A:A,"PCIe_SYS_NPEM*",协议类测试!K:K,"NT")+COUNTIFS(协议类测试!A:A,"PCIe_SYS_NPEM*",协议类测试!L:L,"NT")+COUNTIFS(协议类测试!A:A,"PCIe_SYS_NPEM*",协议类测试!M:M,"NT")</f>
        <v>0</v>
      </c>
      <c r="F44" s="853">
        <f>COUNTIFS(协议类测试!A:A,"PCIe_SYS_NPEM*",协议类测试!J:J,"BLOCK")+COUNTIFS(协议类测试!A:A,"PCIe_SYS_NPEM*",协议类测试!K:K,"BLOCK")+COUNTIFS(协议类测试!A:A,"PCIe_SYS_NPEM*",协议类测试!L:L,"BLOCK")+COUNTIFS(协议类测试!A:A,"PCIe_SYS_NPEM*",协议类测试!M:M,"BLOCK")</f>
        <v>0</v>
      </c>
      <c r="G44" s="212">
        <f>COUNTIF(协议类测试!A:A,"*NPEM*")</f>
        <v>11</v>
      </c>
      <c r="H44" s="849">
        <f t="shared" si="5"/>
        <v>0.90909090909090906</v>
      </c>
      <c r="I44" s="813">
        <f t="shared" si="6"/>
        <v>9.0909090909090912E-2</v>
      </c>
      <c r="J44" s="814">
        <f t="shared" si="7"/>
        <v>0</v>
      </c>
      <c r="K44" s="850">
        <f t="shared" si="8"/>
        <v>1</v>
      </c>
      <c r="L44" s="851" t="s">
        <v>2334</v>
      </c>
      <c r="P44" s="839"/>
      <c r="Q44" s="852"/>
    </row>
    <row r="45" spans="1:17">
      <c r="A45" s="793"/>
      <c r="B45" s="824" t="s">
        <v>2340</v>
      </c>
      <c r="C45" s="828">
        <f>SUM(C22:C44)</f>
        <v>164</v>
      </c>
      <c r="D45" s="828">
        <f>SUM(D22:D44)</f>
        <v>73</v>
      </c>
      <c r="E45" s="828">
        <f>SUM(E22:E44)</f>
        <v>0</v>
      </c>
      <c r="F45" s="828">
        <f>SUM(F22:F44)</f>
        <v>0</v>
      </c>
      <c r="G45" s="829">
        <f>SUM(G22:G44)</f>
        <v>237</v>
      </c>
      <c r="H45" s="854">
        <f t="shared" si="5"/>
        <v>0.69198312236286919</v>
      </c>
      <c r="I45" s="831">
        <f t="shared" si="6"/>
        <v>0.30801687763713081</v>
      </c>
      <c r="J45" s="832">
        <f t="shared" si="7"/>
        <v>0</v>
      </c>
      <c r="K45" s="855">
        <f t="shared" si="8"/>
        <v>1</v>
      </c>
      <c r="L45" s="856"/>
      <c r="P45" s="846"/>
      <c r="Q45" s="847"/>
    </row>
    <row r="46" spans="1:17">
      <c r="A46" s="213"/>
      <c r="B46" s="213"/>
      <c r="C46" s="213"/>
      <c r="D46" s="213"/>
      <c r="E46" s="213"/>
      <c r="F46" s="35"/>
      <c r="G46" s="213"/>
      <c r="P46" s="584"/>
      <c r="Q46" s="847"/>
    </row>
    <row r="47" spans="1:17">
      <c r="A47" s="213"/>
      <c r="B47" s="213"/>
      <c r="C47" s="213"/>
      <c r="D47" s="213"/>
      <c r="E47" s="213"/>
      <c r="F47" s="35"/>
      <c r="G47" s="213"/>
      <c r="P47" s="584"/>
      <c r="Q47" s="847"/>
    </row>
    <row r="48" spans="1:17">
      <c r="A48" s="213"/>
      <c r="B48" s="213"/>
      <c r="C48" s="213"/>
      <c r="D48" s="213"/>
      <c r="E48" s="213"/>
      <c r="F48" s="35"/>
      <c r="G48" s="213"/>
      <c r="P48" s="584"/>
      <c r="Q48" s="847"/>
    </row>
    <row r="49" spans="1:17">
      <c r="A49" s="213"/>
      <c r="B49" s="213"/>
      <c r="C49" s="213"/>
      <c r="D49" s="213"/>
      <c r="E49" s="213"/>
      <c r="F49" s="35"/>
      <c r="G49" s="213"/>
      <c r="P49" s="584"/>
      <c r="Q49" s="847"/>
    </row>
    <row r="50" spans="1:17">
      <c r="P50" s="584"/>
      <c r="Q50" s="847"/>
    </row>
    <row r="51" spans="1:17">
      <c r="I51" s="35"/>
      <c r="J51" s="35"/>
      <c r="K51" s="35"/>
      <c r="P51" s="584"/>
      <c r="Q51" s="847"/>
    </row>
    <row r="52" spans="1:17">
      <c r="H52" s="213"/>
      <c r="P52" s="584"/>
      <c r="Q52" s="847"/>
    </row>
    <row r="53" spans="1:17">
      <c r="P53" s="584"/>
      <c r="Q53" s="847"/>
    </row>
    <row r="54" spans="1:17">
      <c r="P54" s="584"/>
      <c r="Q54" s="847"/>
    </row>
    <row r="55" spans="1:17">
      <c r="P55" s="584"/>
      <c r="Q55" s="847"/>
    </row>
    <row r="56" spans="1:17">
      <c r="P56" s="584"/>
      <c r="Q56" s="847"/>
    </row>
    <row r="57" spans="1:17">
      <c r="P57" s="584"/>
      <c r="Q57" s="847"/>
    </row>
    <row r="58" spans="1:17">
      <c r="G58" s="213"/>
      <c r="P58" s="584"/>
      <c r="Q58" s="847"/>
    </row>
    <row r="59" spans="1:17">
      <c r="P59" s="584"/>
      <c r="Q59" s="847"/>
    </row>
    <row r="60" spans="1:17">
      <c r="P60" s="584"/>
      <c r="Q60" s="847"/>
    </row>
    <row r="61" spans="1:17">
      <c r="P61" s="584"/>
      <c r="Q61" s="847"/>
    </row>
    <row r="62" spans="1:17">
      <c r="P62" s="584"/>
      <c r="Q62" s="847"/>
    </row>
    <row r="63" spans="1:17">
      <c r="P63" s="584"/>
      <c r="Q63" s="847"/>
    </row>
    <row r="64" spans="1:17">
      <c r="P64" s="584"/>
      <c r="Q64" s="847"/>
    </row>
    <row r="65" spans="7:18">
      <c r="P65" s="584"/>
      <c r="Q65" s="847"/>
    </row>
    <row r="66" spans="7:18">
      <c r="G66" s="213"/>
      <c r="H66" s="213"/>
      <c r="P66" s="584"/>
      <c r="Q66" s="852"/>
      <c r="R66" s="213"/>
    </row>
    <row r="67" spans="7:18">
      <c r="P67" s="584"/>
      <c r="Q67" s="847"/>
    </row>
    <row r="68" spans="7:18">
      <c r="P68" s="584"/>
      <c r="Q68" s="847"/>
    </row>
    <row r="69" spans="7:18">
      <c r="P69" s="584"/>
      <c r="Q69" s="847"/>
    </row>
    <row r="70" spans="7:18">
      <c r="G70" s="213"/>
      <c r="H70" s="213"/>
      <c r="P70" s="584"/>
      <c r="Q70" s="852"/>
      <c r="R70" s="213"/>
    </row>
    <row r="71" spans="7:18">
      <c r="G71" s="213"/>
      <c r="H71" s="213"/>
      <c r="P71" s="584"/>
      <c r="Q71" s="852"/>
      <c r="R71" s="213"/>
    </row>
    <row r="72" spans="7:18">
      <c r="G72" s="213"/>
      <c r="H72" s="213"/>
      <c r="P72" s="584"/>
      <c r="Q72" s="852"/>
      <c r="R72" s="213"/>
    </row>
    <row r="73" spans="7:18">
      <c r="G73" s="213"/>
      <c r="H73" s="213"/>
      <c r="P73" s="584"/>
      <c r="Q73" s="852"/>
      <c r="R73" s="213"/>
    </row>
    <row r="74" spans="7:18">
      <c r="G74" s="213"/>
      <c r="H74" s="213"/>
      <c r="P74" s="584"/>
      <c r="Q74" s="852"/>
      <c r="R74" s="213"/>
    </row>
    <row r="75" spans="7:18">
      <c r="G75" s="213"/>
      <c r="H75" s="213"/>
      <c r="P75" s="584"/>
      <c r="Q75" s="852"/>
      <c r="R75" s="213"/>
    </row>
    <row r="76" spans="7:18">
      <c r="G76" s="213"/>
      <c r="H76" s="213"/>
      <c r="P76" s="584"/>
      <c r="Q76" s="852"/>
      <c r="R76" s="213"/>
    </row>
    <row r="77" spans="7:18">
      <c r="G77" s="213"/>
      <c r="H77" s="213"/>
      <c r="P77" s="584"/>
      <c r="Q77" s="852"/>
      <c r="R77" s="213"/>
    </row>
    <row r="78" spans="7:18">
      <c r="G78" s="213"/>
      <c r="H78" s="213"/>
      <c r="P78" s="584"/>
      <c r="Q78" s="852"/>
      <c r="R78" s="213"/>
    </row>
    <row r="79" spans="7:18">
      <c r="G79" s="213"/>
      <c r="H79" s="213"/>
      <c r="P79" s="584"/>
      <c r="Q79" s="852"/>
      <c r="R79" s="213"/>
    </row>
    <row r="80" spans="7:18">
      <c r="G80" s="213"/>
      <c r="H80" s="213"/>
      <c r="P80" s="584"/>
      <c r="Q80" s="852"/>
      <c r="R80" s="213"/>
    </row>
    <row r="81" spans="7:18">
      <c r="G81" s="213"/>
      <c r="H81" s="213"/>
      <c r="P81" s="584"/>
      <c r="Q81" s="852"/>
      <c r="R81" s="213"/>
    </row>
    <row r="82" spans="7:18">
      <c r="G82" s="213"/>
      <c r="H82" s="213"/>
      <c r="P82" s="584"/>
      <c r="Q82" s="852"/>
      <c r="R82" s="213"/>
    </row>
    <row r="83" spans="7:18">
      <c r="G83" s="213"/>
      <c r="H83" s="213"/>
      <c r="P83" s="584"/>
      <c r="Q83" s="852"/>
      <c r="R83" s="213"/>
    </row>
    <row r="84" spans="7:18">
      <c r="G84" s="213"/>
      <c r="H84" s="213"/>
      <c r="P84" s="584"/>
      <c r="Q84" s="852"/>
      <c r="R84" s="213"/>
    </row>
    <row r="85" spans="7:18">
      <c r="G85" s="213"/>
      <c r="H85" s="213"/>
      <c r="P85" s="584"/>
      <c r="Q85" s="852"/>
      <c r="R85" s="213"/>
    </row>
    <row r="86" spans="7:18">
      <c r="G86" s="213"/>
      <c r="H86" s="213"/>
      <c r="P86" s="584"/>
      <c r="Q86" s="852"/>
      <c r="R86" s="213"/>
    </row>
    <row r="87" spans="7:18">
      <c r="G87" s="213"/>
      <c r="H87" s="213"/>
      <c r="P87" s="584"/>
      <c r="Q87" s="852"/>
      <c r="R87" s="213"/>
    </row>
    <row r="88" spans="7:18">
      <c r="G88" s="213"/>
      <c r="H88" s="213"/>
      <c r="P88" s="584"/>
      <c r="Q88" s="852"/>
      <c r="R88" s="213"/>
    </row>
    <row r="89" spans="7:18">
      <c r="G89" s="213"/>
      <c r="H89" s="213"/>
      <c r="P89" s="584"/>
      <c r="Q89" s="852"/>
      <c r="R89" s="213"/>
    </row>
    <row r="90" spans="7:18">
      <c r="G90" s="213"/>
      <c r="H90" s="213"/>
      <c r="P90" s="584"/>
      <c r="Q90" s="852"/>
      <c r="R90" s="213"/>
    </row>
    <row r="91" spans="7:18">
      <c r="G91" s="213"/>
      <c r="H91" s="213"/>
      <c r="P91" s="584"/>
      <c r="Q91" s="852"/>
      <c r="R91" s="213"/>
    </row>
    <row r="92" spans="7:18">
      <c r="G92" s="213"/>
      <c r="H92" s="213"/>
      <c r="P92" s="584"/>
      <c r="Q92" s="852"/>
      <c r="R92" s="213"/>
    </row>
    <row r="93" spans="7:18">
      <c r="G93" s="213"/>
      <c r="H93" s="213"/>
      <c r="P93" s="584"/>
      <c r="Q93" s="852"/>
      <c r="R93" s="213"/>
    </row>
  </sheetData>
  <mergeCells count="3">
    <mergeCell ref="B2:L2"/>
    <mergeCell ref="B20:L20"/>
    <mergeCell ref="Q2:Q3"/>
  </mergeCells>
  <phoneticPr fontId="106" type="noConversion"/>
  <dataValidations count="2">
    <dataValidation type="list" allowBlank="1" showInputMessage="1" showErrorMessage="1" sqref="P1:P1048576" xr:uid="{00000000-0002-0000-0300-000000000000}">
      <formula1>"PASS,FAIL,NT,BLOCK,"</formula1>
    </dataValidation>
    <dataValidation type="list" showInputMessage="1" showErrorMessage="1" sqref="M3:M5" xr:uid="{00000000-0002-0000-0300-000001000000}">
      <formula1>"PASS,FAIL,NT,"</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ASIC端口形态">
    <tabColor rgb="FFFFFFFF"/>
  </sheetPr>
  <dimension ref="A1:R171"/>
  <sheetViews>
    <sheetView workbookViewId="0"/>
  </sheetViews>
  <sheetFormatPr defaultRowHeight="14"/>
  <cols>
    <col min="1" max="1" width="29.54296875" style="35" customWidth="1"/>
    <col min="2" max="2" width="14.54296875" style="35" customWidth="1"/>
    <col min="3" max="3" width="32.26953125" style="35" customWidth="1"/>
    <col min="4" max="4" width="32.7265625" style="35" customWidth="1"/>
    <col min="5" max="5" width="34.08984375" style="35" customWidth="1"/>
    <col min="6" max="6" width="36.54296875" style="35" customWidth="1"/>
    <col min="7" max="18" width="13.7265625" style="35" customWidth="1"/>
  </cols>
  <sheetData>
    <row r="1" spans="1:18" ht="41.25" customHeight="1">
      <c r="A1" s="38" t="s">
        <v>2918</v>
      </c>
      <c r="B1" s="38"/>
      <c r="C1" s="38"/>
      <c r="D1" s="38"/>
      <c r="E1" s="38" t="s">
        <v>2919</v>
      </c>
      <c r="M1" s="213"/>
      <c r="N1" s="213"/>
      <c r="O1" s="213"/>
      <c r="P1" s="213"/>
      <c r="Q1" s="213"/>
      <c r="R1" s="213"/>
    </row>
    <row r="2" spans="1:18">
      <c r="A2" s="40" t="s">
        <v>2920</v>
      </c>
      <c r="B2" s="40"/>
      <c r="C2" s="40" t="s">
        <v>2921</v>
      </c>
      <c r="D2" s="857" t="s">
        <v>2131</v>
      </c>
      <c r="E2" s="87"/>
      <c r="M2" s="213"/>
      <c r="N2" s="213"/>
      <c r="O2" s="213"/>
      <c r="P2" s="213"/>
      <c r="Q2" s="213"/>
      <c r="R2" s="213"/>
    </row>
    <row r="3" spans="1:18" ht="70">
      <c r="A3" s="40" t="s">
        <v>2922</v>
      </c>
      <c r="B3" s="40"/>
      <c r="C3" s="858" t="s">
        <v>2923</v>
      </c>
      <c r="D3" s="42"/>
      <c r="E3" s="87"/>
      <c r="M3" s="213"/>
      <c r="N3" s="213"/>
      <c r="O3" s="213"/>
      <c r="P3" s="213"/>
      <c r="Q3" s="213"/>
      <c r="R3" s="213"/>
    </row>
    <row r="4" spans="1:18">
      <c r="A4" s="40"/>
      <c r="B4" s="40"/>
      <c r="C4" s="858"/>
      <c r="D4" s="42"/>
      <c r="E4" s="87"/>
      <c r="M4" s="213"/>
      <c r="N4" s="213"/>
      <c r="O4" s="213"/>
      <c r="P4" s="213"/>
      <c r="Q4" s="213"/>
      <c r="R4" s="213"/>
    </row>
    <row r="5" spans="1:18">
      <c r="A5" s="981" t="s">
        <v>110</v>
      </c>
      <c r="B5" s="982"/>
      <c r="C5" s="982"/>
      <c r="D5" s="982"/>
      <c r="E5" s="87"/>
      <c r="M5" s="213"/>
      <c r="N5" s="213"/>
      <c r="O5" s="213"/>
      <c r="P5" s="213"/>
      <c r="Q5" s="213"/>
      <c r="R5" s="213"/>
    </row>
    <row r="6" spans="1:18">
      <c r="A6" s="38" t="s">
        <v>111</v>
      </c>
      <c r="B6" s="38" t="s">
        <v>112</v>
      </c>
      <c r="C6" s="38" t="s">
        <v>113</v>
      </c>
      <c r="D6" s="39" t="s">
        <v>114</v>
      </c>
      <c r="E6" s="87"/>
      <c r="M6" s="213"/>
      <c r="N6" s="213"/>
      <c r="O6" s="213"/>
      <c r="P6" s="213"/>
      <c r="Q6" s="213"/>
      <c r="R6" s="213"/>
    </row>
    <row r="7" spans="1:18">
      <c r="A7" s="40" t="s">
        <v>121</v>
      </c>
      <c r="B7" s="40"/>
      <c r="C7" s="40"/>
      <c r="D7" s="42"/>
      <c r="E7" s="87"/>
      <c r="M7" s="213"/>
      <c r="N7" s="213"/>
      <c r="O7" s="213"/>
      <c r="P7" s="213"/>
      <c r="Q7" s="213"/>
      <c r="R7" s="213"/>
    </row>
    <row r="8" spans="1:18">
      <c r="A8" s="40"/>
      <c r="B8" s="41">
        <v>3</v>
      </c>
      <c r="C8" s="40" t="s">
        <v>115</v>
      </c>
      <c r="D8" s="42" t="s">
        <v>116</v>
      </c>
      <c r="E8" s="43" t="s">
        <v>117</v>
      </c>
      <c r="M8" s="213"/>
      <c r="N8" s="213"/>
      <c r="O8" s="213"/>
      <c r="P8" s="213"/>
      <c r="Q8" s="213"/>
      <c r="R8" s="213"/>
    </row>
    <row r="9" spans="1:18">
      <c r="A9" s="40"/>
      <c r="B9" s="41">
        <v>3</v>
      </c>
      <c r="C9" s="40" t="s">
        <v>118</v>
      </c>
      <c r="D9" s="42" t="s">
        <v>119</v>
      </c>
      <c r="E9" s="43" t="s">
        <v>120</v>
      </c>
      <c r="M9" s="213"/>
      <c r="N9" s="213"/>
      <c r="O9" s="213"/>
      <c r="P9" s="213"/>
      <c r="Q9" s="213"/>
      <c r="R9" s="213"/>
    </row>
    <row r="10" spans="1:18">
      <c r="A10" s="44"/>
      <c r="B10" s="45">
        <v>3</v>
      </c>
      <c r="C10" s="44" t="s">
        <v>122</v>
      </c>
      <c r="D10" s="46" t="s">
        <v>116</v>
      </c>
      <c r="E10" s="43" t="s">
        <v>123</v>
      </c>
      <c r="M10" s="213"/>
      <c r="N10" s="213"/>
      <c r="O10" s="213"/>
      <c r="P10" s="213"/>
      <c r="Q10" s="213"/>
      <c r="R10" s="213"/>
    </row>
    <row r="11" spans="1:18">
      <c r="A11" s="40" t="s">
        <v>2924</v>
      </c>
      <c r="B11" s="40"/>
      <c r="C11" s="40"/>
      <c r="D11" s="42"/>
      <c r="E11" s="87"/>
      <c r="F11" s="213"/>
      <c r="G11" s="213"/>
      <c r="H11" s="213"/>
      <c r="I11" s="213"/>
      <c r="J11" s="213"/>
      <c r="K11" s="213"/>
      <c r="L11" s="213"/>
      <c r="M11" s="213"/>
      <c r="N11" s="213"/>
      <c r="O11" s="213"/>
      <c r="P11" s="213"/>
      <c r="Q11" s="213"/>
      <c r="R11" s="213"/>
    </row>
    <row r="12" spans="1:18">
      <c r="A12" s="40"/>
      <c r="B12" s="41">
        <v>3</v>
      </c>
      <c r="C12" s="40" t="s">
        <v>124</v>
      </c>
      <c r="D12" s="42" t="s">
        <v>125</v>
      </c>
      <c r="E12" s="43" t="s">
        <v>126</v>
      </c>
      <c r="F12" s="213"/>
      <c r="G12" s="213"/>
      <c r="H12" s="213"/>
      <c r="I12" s="213"/>
      <c r="J12" s="213"/>
      <c r="K12" s="213"/>
      <c r="L12" s="213"/>
      <c r="M12" s="213"/>
      <c r="N12" s="213"/>
      <c r="O12" s="213"/>
      <c r="P12" s="213"/>
      <c r="Q12" s="213"/>
      <c r="R12" s="213"/>
    </row>
    <row r="13" spans="1:18">
      <c r="A13" s="40"/>
      <c r="B13" s="40">
        <v>1</v>
      </c>
      <c r="C13" s="40" t="s">
        <v>2925</v>
      </c>
      <c r="D13" s="42" t="s">
        <v>2926</v>
      </c>
      <c r="E13" s="87"/>
      <c r="F13" s="213"/>
      <c r="G13" s="213"/>
      <c r="H13" s="213"/>
      <c r="I13" s="213"/>
      <c r="J13" s="213"/>
      <c r="K13" s="213"/>
      <c r="L13" s="213"/>
      <c r="M13" s="213"/>
      <c r="N13" s="213"/>
      <c r="O13" s="213"/>
      <c r="P13" s="213"/>
      <c r="Q13" s="213"/>
      <c r="R13" s="213"/>
    </row>
    <row r="14" spans="1:18">
      <c r="A14" s="40"/>
      <c r="B14" s="40">
        <v>1</v>
      </c>
      <c r="C14" s="40" t="s">
        <v>2927</v>
      </c>
      <c r="D14" s="42" t="s">
        <v>2926</v>
      </c>
      <c r="E14" s="87"/>
      <c r="F14" s="213"/>
      <c r="G14" s="213"/>
      <c r="H14" s="213"/>
      <c r="I14" s="213"/>
      <c r="J14" s="213"/>
      <c r="K14" s="213"/>
      <c r="L14" s="213"/>
      <c r="M14" s="213"/>
      <c r="N14" s="213"/>
      <c r="O14" s="213"/>
      <c r="P14" s="213"/>
      <c r="Q14" s="213"/>
      <c r="R14" s="213"/>
    </row>
    <row r="15" spans="1:18">
      <c r="A15" s="40"/>
      <c r="B15" s="40">
        <v>1</v>
      </c>
      <c r="C15" s="40" t="s">
        <v>2928</v>
      </c>
      <c r="D15" s="42" t="s">
        <v>2929</v>
      </c>
      <c r="E15" s="87"/>
      <c r="F15" s="213"/>
      <c r="G15" s="213"/>
      <c r="H15" s="213"/>
      <c r="I15" s="213"/>
      <c r="J15" s="213"/>
      <c r="K15" s="213"/>
      <c r="L15" s="213"/>
      <c r="M15" s="213"/>
      <c r="N15" s="213"/>
      <c r="O15" s="213"/>
      <c r="P15" s="213"/>
      <c r="Q15" s="213"/>
      <c r="R15" s="213"/>
    </row>
    <row r="16" spans="1:18">
      <c r="A16" s="40"/>
      <c r="B16" s="40">
        <v>1</v>
      </c>
      <c r="C16" s="40" t="s">
        <v>2930</v>
      </c>
      <c r="D16" s="42" t="s">
        <v>2931</v>
      </c>
      <c r="E16" s="87"/>
      <c r="F16" s="213"/>
      <c r="G16" s="213"/>
      <c r="H16" s="213"/>
      <c r="I16" s="213"/>
      <c r="J16" s="213"/>
      <c r="K16" s="213"/>
      <c r="L16" s="213"/>
      <c r="M16" s="213"/>
      <c r="N16" s="213"/>
      <c r="O16" s="213"/>
      <c r="P16" s="213"/>
      <c r="Q16" s="213"/>
      <c r="R16" s="213"/>
    </row>
    <row r="17" spans="1:18">
      <c r="A17" s="40"/>
      <c r="B17" s="41">
        <v>3</v>
      </c>
      <c r="C17" s="40" t="s">
        <v>128</v>
      </c>
      <c r="D17" s="42" t="s">
        <v>129</v>
      </c>
      <c r="E17" s="43" t="s">
        <v>130</v>
      </c>
      <c r="F17" s="213"/>
      <c r="G17" s="213"/>
      <c r="H17" s="213"/>
      <c r="I17" s="213"/>
      <c r="J17" s="213"/>
      <c r="K17" s="213"/>
      <c r="L17" s="213"/>
      <c r="M17" s="213"/>
      <c r="N17" s="213"/>
      <c r="O17" s="213"/>
      <c r="P17" s="213"/>
      <c r="Q17" s="213"/>
      <c r="R17" s="213"/>
    </row>
    <row r="18" spans="1:18">
      <c r="A18" s="40" t="s">
        <v>131</v>
      </c>
      <c r="B18" s="40">
        <v>2</v>
      </c>
      <c r="C18" s="40" t="s">
        <v>2932</v>
      </c>
      <c r="D18" s="42" t="s">
        <v>2933</v>
      </c>
      <c r="E18" s="87"/>
      <c r="F18" s="213"/>
      <c r="G18" s="213"/>
      <c r="H18" s="213"/>
      <c r="I18" s="213"/>
      <c r="J18" s="213"/>
      <c r="K18" s="213"/>
      <c r="L18" s="213"/>
      <c r="M18" s="213"/>
      <c r="N18" s="213"/>
      <c r="O18" s="213"/>
      <c r="P18" s="213"/>
      <c r="Q18" s="213"/>
      <c r="R18" s="213"/>
    </row>
    <row r="19" spans="1:18">
      <c r="A19" s="40" t="s">
        <v>131</v>
      </c>
      <c r="B19" s="40">
        <v>1</v>
      </c>
      <c r="C19" s="40" t="s">
        <v>2934</v>
      </c>
      <c r="D19" s="42" t="s">
        <v>2935</v>
      </c>
      <c r="E19" s="87"/>
      <c r="F19" s="213"/>
      <c r="G19" s="213"/>
      <c r="H19" s="213"/>
      <c r="I19" s="213"/>
      <c r="J19" s="213"/>
      <c r="K19" s="213"/>
      <c r="L19" s="213"/>
      <c r="M19" s="213"/>
      <c r="N19" s="213"/>
      <c r="O19" s="213"/>
      <c r="P19" s="213"/>
      <c r="Q19" s="213"/>
      <c r="R19" s="213"/>
    </row>
    <row r="20" spans="1:18">
      <c r="A20" s="47" t="s">
        <v>131</v>
      </c>
      <c r="B20" s="48">
        <v>3</v>
      </c>
      <c r="C20" s="47" t="s">
        <v>132</v>
      </c>
      <c r="D20" s="49" t="s">
        <v>133</v>
      </c>
      <c r="E20" s="50" t="s">
        <v>134</v>
      </c>
      <c r="F20" s="213"/>
      <c r="G20" s="213"/>
      <c r="H20" s="213"/>
      <c r="I20" s="213"/>
      <c r="J20" s="213"/>
      <c r="K20" s="213"/>
      <c r="L20" s="213"/>
      <c r="M20" s="213"/>
      <c r="N20" s="213"/>
      <c r="O20" s="213"/>
      <c r="P20" s="213"/>
      <c r="Q20" s="213"/>
      <c r="R20" s="213"/>
    </row>
    <row r="21" spans="1:18">
      <c r="A21" s="40" t="s">
        <v>2936</v>
      </c>
      <c r="B21" s="40">
        <v>0</v>
      </c>
      <c r="C21" s="40"/>
      <c r="D21" s="42"/>
      <c r="E21" s="87"/>
      <c r="F21" s="213"/>
      <c r="G21" s="213"/>
      <c r="H21" s="213"/>
      <c r="I21" s="213"/>
      <c r="J21" s="213"/>
      <c r="K21" s="213"/>
      <c r="L21" s="213"/>
      <c r="M21" s="213"/>
      <c r="N21" s="213"/>
      <c r="O21" s="213"/>
      <c r="P21" s="213"/>
      <c r="Q21" s="213"/>
      <c r="R21" s="213"/>
    </row>
    <row r="22" spans="1:18">
      <c r="A22" s="40" t="s">
        <v>2937</v>
      </c>
      <c r="B22" s="40">
        <v>2</v>
      </c>
      <c r="C22" s="40" t="s">
        <v>2938</v>
      </c>
      <c r="D22" s="42" t="s">
        <v>2939</v>
      </c>
      <c r="E22" s="848" t="s">
        <v>2940</v>
      </c>
      <c r="F22" s="213"/>
      <c r="G22" s="213"/>
      <c r="H22" s="213"/>
      <c r="I22" s="213"/>
      <c r="J22" s="213"/>
      <c r="K22" s="213"/>
      <c r="L22" s="213"/>
      <c r="M22" s="213"/>
      <c r="N22" s="213"/>
      <c r="O22" s="213"/>
      <c r="P22" s="213"/>
      <c r="Q22" s="213"/>
      <c r="R22" s="213"/>
    </row>
    <row r="23" spans="1:18">
      <c r="A23" s="40" t="s">
        <v>2937</v>
      </c>
      <c r="B23" s="40">
        <v>1</v>
      </c>
      <c r="C23" s="40" t="s">
        <v>2941</v>
      </c>
      <c r="D23" s="42" t="s">
        <v>2942</v>
      </c>
      <c r="E23" s="87" t="s">
        <v>2943</v>
      </c>
      <c r="F23" s="213"/>
      <c r="G23" s="213"/>
      <c r="H23" s="213"/>
      <c r="I23" s="213"/>
      <c r="J23" s="213"/>
      <c r="K23" s="213"/>
      <c r="L23" s="213"/>
      <c r="M23" s="213"/>
      <c r="N23" s="213"/>
      <c r="O23" s="213"/>
      <c r="P23" s="213"/>
      <c r="Q23" s="213"/>
      <c r="R23" s="213"/>
    </row>
    <row r="24" spans="1:18">
      <c r="A24" s="40" t="s">
        <v>135</v>
      </c>
      <c r="B24" s="40">
        <v>2</v>
      </c>
      <c r="C24" s="40" t="s">
        <v>2944</v>
      </c>
      <c r="D24" s="42" t="s">
        <v>2935</v>
      </c>
      <c r="E24" s="87"/>
      <c r="F24" s="213"/>
      <c r="G24" s="213"/>
      <c r="H24" s="213"/>
      <c r="I24" s="213"/>
      <c r="J24" s="213"/>
      <c r="K24" s="213"/>
      <c r="L24" s="213"/>
      <c r="M24" s="213"/>
      <c r="N24" s="213"/>
      <c r="O24" s="213"/>
      <c r="P24" s="213"/>
      <c r="Q24" s="213"/>
      <c r="R24" s="213"/>
    </row>
    <row r="25" spans="1:18">
      <c r="A25" s="47" t="s">
        <v>135</v>
      </c>
      <c r="B25" s="48">
        <v>3</v>
      </c>
      <c r="C25" s="47" t="s">
        <v>136</v>
      </c>
      <c r="D25" s="49" t="s">
        <v>133</v>
      </c>
      <c r="E25" s="51" t="s">
        <v>137</v>
      </c>
      <c r="F25" s="213"/>
      <c r="G25" s="213"/>
      <c r="H25" s="213"/>
      <c r="I25" s="213"/>
      <c r="J25" s="213"/>
      <c r="K25" s="213"/>
      <c r="L25" s="213"/>
      <c r="M25" s="213"/>
      <c r="N25" s="213"/>
      <c r="O25" s="213"/>
      <c r="P25" s="213"/>
      <c r="Q25" s="213"/>
      <c r="R25" s="213"/>
    </row>
    <row r="26" spans="1:18">
      <c r="A26" s="40" t="s">
        <v>135</v>
      </c>
      <c r="B26" s="40">
        <v>2</v>
      </c>
      <c r="C26" s="40" t="s">
        <v>2945</v>
      </c>
      <c r="D26" s="42" t="s">
        <v>2933</v>
      </c>
      <c r="E26" s="87"/>
      <c r="F26" s="213"/>
      <c r="G26" s="213"/>
      <c r="H26" s="213"/>
      <c r="I26" s="213"/>
      <c r="J26" s="213"/>
      <c r="K26" s="213"/>
      <c r="L26" s="213"/>
      <c r="M26" s="213"/>
      <c r="N26" s="213"/>
      <c r="O26" s="213"/>
      <c r="P26" s="213"/>
      <c r="Q26" s="213"/>
      <c r="R26" s="213"/>
    </row>
    <row r="27" spans="1:18">
      <c r="A27" s="40" t="s">
        <v>2946</v>
      </c>
      <c r="B27" s="40">
        <v>0</v>
      </c>
      <c r="C27" s="40"/>
      <c r="D27" s="42"/>
      <c r="E27" s="87"/>
      <c r="F27" s="213"/>
      <c r="G27" s="213"/>
      <c r="H27" s="213"/>
      <c r="I27" s="213"/>
      <c r="J27" s="213"/>
      <c r="K27" s="213"/>
      <c r="L27" s="213"/>
      <c r="M27" s="213"/>
      <c r="N27" s="213"/>
      <c r="O27" s="213"/>
      <c r="P27" s="213"/>
      <c r="Q27" s="213"/>
      <c r="R27" s="213"/>
    </row>
    <row r="28" spans="1:18">
      <c r="A28" s="40" t="s">
        <v>2947</v>
      </c>
      <c r="B28" s="40">
        <v>0</v>
      </c>
      <c r="C28" s="40"/>
      <c r="D28" s="42"/>
      <c r="E28" s="87"/>
      <c r="F28" s="213"/>
      <c r="G28" s="213"/>
      <c r="H28" s="213"/>
      <c r="I28" s="213"/>
      <c r="J28" s="213"/>
      <c r="K28" s="213"/>
      <c r="L28" s="213"/>
      <c r="M28" s="213"/>
      <c r="N28" s="213"/>
      <c r="O28" s="213"/>
      <c r="P28" s="213"/>
      <c r="Q28" s="213"/>
      <c r="R28" s="213"/>
    </row>
    <row r="29" spans="1:18">
      <c r="A29" s="40" t="s">
        <v>138</v>
      </c>
      <c r="B29" s="40">
        <v>2</v>
      </c>
      <c r="C29" s="40" t="s">
        <v>2948</v>
      </c>
      <c r="D29" s="42" t="s">
        <v>2935</v>
      </c>
      <c r="E29" s="87"/>
      <c r="F29" s="213"/>
      <c r="G29" s="213"/>
      <c r="H29" s="213"/>
      <c r="I29" s="213"/>
      <c r="J29" s="213"/>
      <c r="K29" s="213"/>
      <c r="L29" s="213"/>
      <c r="M29" s="213"/>
      <c r="N29" s="213"/>
      <c r="O29" s="213"/>
      <c r="P29" s="213"/>
      <c r="Q29" s="213"/>
      <c r="R29" s="213"/>
    </row>
    <row r="30" spans="1:18">
      <c r="A30" s="40" t="s">
        <v>138</v>
      </c>
      <c r="B30" s="41">
        <v>3</v>
      </c>
      <c r="C30" s="40" t="s">
        <v>139</v>
      </c>
      <c r="D30" s="42" t="s">
        <v>140</v>
      </c>
      <c r="E30" s="43" t="s">
        <v>141</v>
      </c>
      <c r="F30" s="213"/>
      <c r="G30" s="213"/>
      <c r="H30" s="213"/>
      <c r="I30" s="213"/>
      <c r="J30" s="213"/>
      <c r="K30" s="213"/>
      <c r="L30" s="213"/>
      <c r="M30" s="213"/>
      <c r="N30" s="213"/>
      <c r="O30" s="213"/>
      <c r="P30" s="213"/>
      <c r="Q30" s="213"/>
      <c r="R30" s="213"/>
    </row>
    <row r="31" spans="1:18">
      <c r="A31" s="40" t="s">
        <v>2949</v>
      </c>
      <c r="B31" s="40">
        <v>0</v>
      </c>
      <c r="C31" s="40"/>
      <c r="D31" s="42"/>
      <c r="E31" s="87"/>
      <c r="F31" s="213"/>
      <c r="G31" s="213"/>
      <c r="H31" s="213"/>
      <c r="I31" s="213"/>
      <c r="J31" s="213"/>
      <c r="K31" s="213"/>
      <c r="L31" s="213"/>
      <c r="M31" s="213"/>
      <c r="N31" s="213"/>
      <c r="O31" s="213"/>
      <c r="P31" s="213"/>
      <c r="Q31" s="213"/>
      <c r="R31" s="213"/>
    </row>
    <row r="32" spans="1:18">
      <c r="A32" s="40" t="s">
        <v>2950</v>
      </c>
      <c r="B32" s="40">
        <v>0</v>
      </c>
      <c r="C32" s="40"/>
      <c r="D32" s="42"/>
      <c r="E32" s="87"/>
      <c r="F32" s="213"/>
      <c r="G32" s="213"/>
      <c r="H32" s="213"/>
      <c r="I32" s="213"/>
      <c r="J32" s="213"/>
      <c r="K32" s="213"/>
      <c r="L32" s="213"/>
      <c r="M32" s="213"/>
      <c r="N32" s="213"/>
      <c r="O32" s="213"/>
      <c r="P32" s="213"/>
      <c r="Q32" s="213"/>
      <c r="R32" s="213"/>
    </row>
    <row r="33" spans="1:18">
      <c r="A33" s="40" t="s">
        <v>2951</v>
      </c>
      <c r="B33" s="41">
        <v>3</v>
      </c>
      <c r="C33" s="40" t="s">
        <v>2952</v>
      </c>
      <c r="D33" s="42" t="s">
        <v>2953</v>
      </c>
      <c r="E33" s="859" t="s">
        <v>2954</v>
      </c>
      <c r="F33" s="213"/>
      <c r="G33" s="213"/>
      <c r="H33" s="213"/>
      <c r="I33" s="213"/>
      <c r="J33" s="213"/>
      <c r="K33" s="213"/>
      <c r="L33" s="213"/>
      <c r="M33" s="213"/>
      <c r="N33" s="213"/>
      <c r="O33" s="213"/>
      <c r="P33" s="213"/>
      <c r="Q33" s="213"/>
      <c r="R33" s="213"/>
    </row>
    <row r="34" spans="1:18">
      <c r="A34" s="40" t="s">
        <v>2955</v>
      </c>
      <c r="B34" s="40">
        <v>0</v>
      </c>
      <c r="C34" s="40"/>
      <c r="D34" s="42"/>
      <c r="E34" s="87"/>
      <c r="F34" s="213"/>
      <c r="G34" s="213"/>
      <c r="H34" s="213"/>
      <c r="I34" s="213"/>
      <c r="J34" s="213"/>
      <c r="K34" s="213"/>
      <c r="L34" s="213"/>
      <c r="M34" s="213"/>
      <c r="N34" s="213"/>
      <c r="O34" s="213"/>
      <c r="P34" s="213"/>
      <c r="Q34" s="213"/>
      <c r="R34" s="213"/>
    </row>
    <row r="35" spans="1:18">
      <c r="A35" s="40" t="s">
        <v>2956</v>
      </c>
      <c r="B35" s="40">
        <v>0</v>
      </c>
      <c r="C35" s="40"/>
      <c r="D35" s="42"/>
      <c r="E35" s="87"/>
      <c r="F35" s="213"/>
      <c r="G35" s="213"/>
      <c r="H35" s="213"/>
      <c r="I35" s="213"/>
      <c r="J35" s="213"/>
      <c r="K35" s="213"/>
      <c r="L35" s="213"/>
      <c r="M35" s="213"/>
      <c r="N35" s="213"/>
      <c r="O35" s="213"/>
      <c r="P35" s="213"/>
      <c r="Q35" s="213"/>
      <c r="R35" s="213"/>
    </row>
    <row r="36" spans="1:18">
      <c r="A36" s="40" t="s">
        <v>2957</v>
      </c>
      <c r="B36" s="40">
        <v>0</v>
      </c>
      <c r="C36" s="40"/>
      <c r="D36" s="42"/>
      <c r="E36" s="87"/>
      <c r="F36" s="213"/>
      <c r="G36" s="213"/>
      <c r="H36" s="213"/>
      <c r="I36" s="213"/>
      <c r="J36" s="213"/>
      <c r="K36" s="213"/>
      <c r="L36" s="213"/>
      <c r="M36" s="213"/>
      <c r="N36" s="213"/>
      <c r="O36" s="213"/>
      <c r="P36" s="213"/>
      <c r="Q36" s="213"/>
      <c r="R36" s="213"/>
    </row>
    <row r="37" spans="1:18">
      <c r="A37" s="40" t="s">
        <v>2958</v>
      </c>
      <c r="B37" s="40">
        <v>0</v>
      </c>
      <c r="C37" s="40"/>
      <c r="D37" s="42"/>
      <c r="E37" s="87"/>
      <c r="F37" s="213"/>
      <c r="G37" s="213"/>
      <c r="H37" s="213"/>
      <c r="I37" s="213"/>
      <c r="J37" s="213"/>
      <c r="K37" s="213"/>
      <c r="L37" s="213"/>
      <c r="M37" s="213"/>
      <c r="N37" s="213"/>
      <c r="O37" s="213"/>
      <c r="P37" s="213"/>
      <c r="Q37" s="213"/>
      <c r="R37" s="213"/>
    </row>
    <row r="38" spans="1:18">
      <c r="A38" s="40" t="s">
        <v>2959</v>
      </c>
      <c r="B38" s="40">
        <v>0</v>
      </c>
      <c r="C38" s="40"/>
      <c r="D38" s="42"/>
      <c r="E38" s="87"/>
      <c r="F38" s="213"/>
      <c r="G38" s="213"/>
      <c r="H38" s="213"/>
      <c r="I38" s="213"/>
      <c r="J38" s="213"/>
      <c r="K38" s="213"/>
      <c r="L38" s="213"/>
      <c r="M38" s="213"/>
      <c r="N38" s="213"/>
      <c r="O38" s="213"/>
      <c r="P38" s="213"/>
      <c r="Q38" s="213"/>
      <c r="R38" s="213"/>
    </row>
    <row r="39" spans="1:18">
      <c r="A39" s="40" t="s">
        <v>2960</v>
      </c>
      <c r="B39" s="40">
        <v>0</v>
      </c>
      <c r="C39" s="40"/>
      <c r="D39" s="42"/>
      <c r="E39" s="87"/>
      <c r="F39" s="213"/>
      <c r="G39" s="213"/>
      <c r="H39" s="213"/>
      <c r="I39" s="213"/>
      <c r="J39" s="213"/>
      <c r="K39" s="213"/>
      <c r="L39" s="213"/>
      <c r="M39" s="213"/>
      <c r="N39" s="213"/>
      <c r="O39" s="213"/>
      <c r="P39" s="213"/>
      <c r="Q39" s="213"/>
      <c r="R39" s="213"/>
    </row>
    <row r="40" spans="1:18">
      <c r="A40" s="40" t="s">
        <v>2961</v>
      </c>
      <c r="B40" s="40">
        <v>0</v>
      </c>
      <c r="C40" s="40"/>
      <c r="D40" s="42"/>
      <c r="E40" s="87"/>
      <c r="F40" s="213"/>
      <c r="G40" s="213"/>
      <c r="H40" s="213"/>
      <c r="I40" s="213"/>
      <c r="J40" s="213"/>
      <c r="K40" s="213"/>
      <c r="L40" s="213"/>
      <c r="M40" s="213"/>
      <c r="N40" s="213"/>
      <c r="O40" s="213"/>
      <c r="P40" s="213"/>
      <c r="Q40" s="213"/>
      <c r="R40" s="213"/>
    </row>
    <row r="41" spans="1:18">
      <c r="A41" s="40" t="s">
        <v>2962</v>
      </c>
      <c r="B41" s="40">
        <v>0</v>
      </c>
      <c r="C41" s="40"/>
      <c r="D41" s="42"/>
      <c r="E41" s="87"/>
      <c r="F41" s="213"/>
      <c r="G41" s="213"/>
      <c r="H41" s="213"/>
      <c r="I41" s="213"/>
      <c r="J41" s="213"/>
      <c r="K41" s="213"/>
      <c r="L41" s="213"/>
      <c r="M41" s="213"/>
      <c r="N41" s="213"/>
      <c r="O41" s="213"/>
      <c r="P41" s="213"/>
      <c r="Q41" s="213"/>
      <c r="R41" s="213"/>
    </row>
    <row r="42" spans="1:18">
      <c r="A42" s="40" t="s">
        <v>2963</v>
      </c>
      <c r="B42" s="40">
        <v>2</v>
      </c>
      <c r="C42" s="40" t="s">
        <v>2964</v>
      </c>
      <c r="D42" s="42" t="s">
        <v>2939</v>
      </c>
      <c r="E42" s="87" t="s">
        <v>2965</v>
      </c>
      <c r="F42" s="213"/>
      <c r="G42" s="213"/>
      <c r="H42" s="213"/>
      <c r="I42" s="213"/>
      <c r="J42" s="213"/>
      <c r="K42" s="213"/>
      <c r="L42" s="213"/>
      <c r="M42" s="213"/>
      <c r="N42" s="213"/>
      <c r="O42" s="213"/>
      <c r="P42" s="213"/>
      <c r="Q42" s="213"/>
      <c r="R42" s="213"/>
    </row>
    <row r="43" spans="1:18">
      <c r="A43" s="40" t="s">
        <v>2963</v>
      </c>
      <c r="B43" s="40">
        <v>1</v>
      </c>
      <c r="C43" s="40" t="s">
        <v>2966</v>
      </c>
      <c r="D43" s="42" t="s">
        <v>2942</v>
      </c>
      <c r="E43" s="87"/>
      <c r="F43" s="213"/>
      <c r="G43" s="213"/>
      <c r="H43" s="213"/>
      <c r="I43" s="213"/>
      <c r="J43" s="213"/>
      <c r="K43" s="213"/>
      <c r="L43" s="213"/>
      <c r="M43" s="213"/>
      <c r="N43" s="213"/>
      <c r="O43" s="213"/>
      <c r="P43" s="213"/>
      <c r="Q43" s="213"/>
      <c r="R43" s="213"/>
    </row>
    <row r="44" spans="1:18">
      <c r="A44" s="40" t="s">
        <v>2967</v>
      </c>
      <c r="B44" s="41">
        <v>3</v>
      </c>
      <c r="C44" s="40" t="s">
        <v>2968</v>
      </c>
      <c r="D44" s="42" t="s">
        <v>133</v>
      </c>
      <c r="E44" s="848" t="s">
        <v>2969</v>
      </c>
      <c r="F44" s="213"/>
      <c r="G44" s="213"/>
      <c r="H44" s="213"/>
      <c r="I44" s="213"/>
      <c r="J44" s="213"/>
      <c r="K44" s="213"/>
      <c r="L44" s="213"/>
      <c r="M44" s="213"/>
      <c r="N44" s="213"/>
      <c r="O44" s="213"/>
      <c r="P44" s="213"/>
      <c r="Q44" s="213"/>
      <c r="R44" s="213"/>
    </row>
    <row r="45" spans="1:18">
      <c r="A45" s="40" t="s">
        <v>2970</v>
      </c>
      <c r="B45" s="40">
        <v>0</v>
      </c>
      <c r="C45" s="40"/>
      <c r="D45" s="42"/>
      <c r="E45" s="87"/>
      <c r="F45" s="213"/>
      <c r="G45" s="213"/>
      <c r="H45" s="213"/>
      <c r="I45" s="213"/>
      <c r="J45" s="213"/>
      <c r="K45" s="213"/>
      <c r="L45" s="213"/>
      <c r="M45" s="213"/>
      <c r="N45" s="213"/>
      <c r="O45" s="213"/>
      <c r="P45" s="213"/>
      <c r="Q45" s="213"/>
      <c r="R45" s="213"/>
    </row>
    <row r="46" spans="1:18">
      <c r="A46" s="40" t="s">
        <v>2971</v>
      </c>
      <c r="B46" s="40">
        <v>0</v>
      </c>
      <c r="C46" s="40"/>
      <c r="D46" s="42"/>
      <c r="E46" s="87"/>
      <c r="F46" s="213"/>
      <c r="G46" s="213"/>
      <c r="H46" s="213"/>
      <c r="I46" s="213"/>
      <c r="J46" s="213"/>
      <c r="K46" s="213"/>
      <c r="L46" s="213"/>
      <c r="M46" s="213"/>
      <c r="N46" s="213"/>
      <c r="O46" s="213"/>
      <c r="P46" s="213"/>
      <c r="Q46" s="213"/>
      <c r="R46" s="213"/>
    </row>
    <row r="47" spans="1:18">
      <c r="A47" s="40" t="s">
        <v>2972</v>
      </c>
      <c r="B47" s="41">
        <v>3</v>
      </c>
      <c r="C47" s="40" t="s">
        <v>2973</v>
      </c>
      <c r="D47" s="42" t="s">
        <v>2974</v>
      </c>
      <c r="E47" s="43" t="s">
        <v>2975</v>
      </c>
      <c r="F47" s="213"/>
      <c r="G47" s="213"/>
      <c r="H47" s="213"/>
      <c r="I47" s="213"/>
      <c r="J47" s="213"/>
      <c r="K47" s="213"/>
      <c r="L47" s="213"/>
      <c r="M47" s="213"/>
      <c r="N47" s="213"/>
      <c r="O47" s="213"/>
      <c r="P47" s="213"/>
      <c r="Q47" s="213"/>
      <c r="R47" s="213"/>
    </row>
    <row r="48" spans="1:18">
      <c r="A48" s="213"/>
      <c r="B48" s="213"/>
      <c r="C48" s="213"/>
      <c r="D48" s="213"/>
      <c r="E48" s="213"/>
      <c r="F48" s="213"/>
      <c r="G48" s="213"/>
      <c r="H48" s="213"/>
      <c r="I48" s="213"/>
      <c r="J48" s="213"/>
      <c r="K48" s="213"/>
      <c r="L48" s="213"/>
      <c r="M48" s="213"/>
      <c r="N48" s="213"/>
      <c r="O48" s="213"/>
      <c r="P48" s="213"/>
      <c r="Q48" s="213"/>
      <c r="R48" s="213"/>
    </row>
    <row r="49" spans="1:18">
      <c r="A49" s="213"/>
      <c r="B49" s="213"/>
      <c r="C49" s="213"/>
      <c r="D49" s="213"/>
      <c r="E49" s="213"/>
      <c r="F49" s="213"/>
      <c r="G49" s="213"/>
      <c r="H49" s="213"/>
      <c r="I49" s="213"/>
      <c r="J49" s="213"/>
      <c r="K49" s="213"/>
      <c r="L49" s="213"/>
      <c r="M49" s="213"/>
      <c r="N49" s="213"/>
      <c r="O49" s="213"/>
      <c r="P49" s="213"/>
      <c r="Q49" s="213"/>
      <c r="R49" s="213"/>
    </row>
    <row r="50" spans="1:18">
      <c r="A50" s="213"/>
      <c r="B50" s="213"/>
      <c r="C50" s="213"/>
      <c r="D50" s="213"/>
      <c r="E50" s="213"/>
      <c r="F50" s="213"/>
      <c r="G50" s="213"/>
      <c r="H50" s="213"/>
      <c r="I50" s="213"/>
      <c r="J50" s="213"/>
      <c r="K50" s="213"/>
      <c r="L50" s="213"/>
      <c r="M50" s="213"/>
      <c r="N50" s="213"/>
      <c r="O50" s="213"/>
      <c r="P50" s="213"/>
      <c r="Q50" s="213"/>
      <c r="R50" s="213"/>
    </row>
    <row r="51" spans="1:18">
      <c r="A51" s="213"/>
      <c r="B51" s="213"/>
      <c r="C51" s="213"/>
      <c r="D51" s="213"/>
      <c r="E51" s="213"/>
      <c r="F51" s="213"/>
      <c r="G51" s="213"/>
      <c r="H51" s="213"/>
      <c r="I51" s="213"/>
      <c r="J51" s="213"/>
      <c r="K51" s="213"/>
      <c r="L51" s="213"/>
      <c r="M51" s="213"/>
      <c r="N51" s="213"/>
      <c r="O51" s="213"/>
      <c r="P51" s="213"/>
      <c r="Q51" s="213"/>
      <c r="R51" s="213"/>
    </row>
    <row r="52" spans="1:18">
      <c r="A52" s="213"/>
      <c r="B52" s="213"/>
      <c r="C52" s="213"/>
      <c r="D52" s="213"/>
      <c r="E52" s="213"/>
      <c r="F52" s="213"/>
      <c r="G52" s="213"/>
      <c r="H52" s="213"/>
      <c r="I52" s="213"/>
      <c r="J52" s="213"/>
      <c r="K52" s="213"/>
      <c r="L52" s="213"/>
      <c r="M52" s="213"/>
      <c r="N52" s="213"/>
      <c r="O52" s="213"/>
      <c r="P52" s="213"/>
      <c r="Q52" s="213"/>
      <c r="R52" s="213"/>
    </row>
    <row r="53" spans="1:18">
      <c r="A53" s="979" t="s">
        <v>2976</v>
      </c>
      <c r="B53" s="980"/>
      <c r="C53" s="980"/>
      <c r="D53" s="980"/>
      <c r="E53" s="980"/>
      <c r="F53" s="980"/>
      <c r="G53" s="213"/>
      <c r="H53" s="213"/>
      <c r="I53" s="213"/>
      <c r="J53" s="213"/>
      <c r="K53" s="213"/>
      <c r="L53" s="213"/>
      <c r="M53" s="213"/>
      <c r="N53" s="213"/>
      <c r="O53" s="213"/>
      <c r="P53" s="213"/>
      <c r="Q53" s="213"/>
      <c r="R53" s="213"/>
    </row>
    <row r="54" spans="1:18">
      <c r="A54" s="213"/>
      <c r="B54" s="213"/>
      <c r="C54" s="213"/>
      <c r="D54" s="213"/>
      <c r="E54" s="213"/>
      <c r="F54" s="213"/>
      <c r="G54" s="213"/>
      <c r="H54" s="213"/>
      <c r="I54" s="213"/>
      <c r="J54" s="213"/>
      <c r="K54" s="213"/>
      <c r="L54" s="213"/>
      <c r="M54" s="213"/>
      <c r="N54" s="213"/>
      <c r="O54" s="213"/>
      <c r="P54" s="213"/>
      <c r="Q54" s="213"/>
      <c r="R54" s="213"/>
    </row>
    <row r="55" spans="1:18">
      <c r="A55" s="860" t="s">
        <v>144</v>
      </c>
      <c r="B55" s="860" t="s">
        <v>145</v>
      </c>
      <c r="C55" s="860" t="s">
        <v>146</v>
      </c>
      <c r="D55" s="860" t="s">
        <v>147</v>
      </c>
      <c r="E55" s="860" t="s">
        <v>148</v>
      </c>
      <c r="F55" s="860" t="s">
        <v>149</v>
      </c>
      <c r="H55" s="213" t="s">
        <v>170</v>
      </c>
      <c r="I55" s="595" t="s">
        <v>2977</v>
      </c>
      <c r="J55" s="213"/>
      <c r="K55" s="213"/>
      <c r="L55" s="213"/>
      <c r="M55" s="213"/>
      <c r="N55" s="213"/>
      <c r="O55" s="213"/>
      <c r="P55" s="213"/>
      <c r="Q55" s="213"/>
      <c r="R55" s="213"/>
    </row>
    <row r="56" spans="1:18">
      <c r="A56" s="860" t="s">
        <v>152</v>
      </c>
      <c r="B56" s="88" t="s">
        <v>153</v>
      </c>
      <c r="C56" s="861" t="s">
        <v>2978</v>
      </c>
      <c r="D56" s="88" t="s">
        <v>153</v>
      </c>
      <c r="E56" s="88" t="s">
        <v>153</v>
      </c>
      <c r="F56" s="88" t="s">
        <v>153</v>
      </c>
      <c r="H56" s="213" t="s">
        <v>2979</v>
      </c>
      <c r="I56" s="595" t="s">
        <v>2980</v>
      </c>
      <c r="J56" s="213"/>
      <c r="K56" s="213"/>
      <c r="L56" s="213"/>
      <c r="M56" s="213"/>
      <c r="N56" s="213"/>
      <c r="O56" s="213"/>
      <c r="P56" s="213"/>
      <c r="Q56" s="213"/>
      <c r="R56" s="213"/>
    </row>
    <row r="57" spans="1:18">
      <c r="A57" s="860" t="s">
        <v>157</v>
      </c>
      <c r="B57" s="88" t="s">
        <v>153</v>
      </c>
      <c r="C57" s="862">
        <v>16</v>
      </c>
      <c r="D57" s="863" t="s">
        <v>153</v>
      </c>
      <c r="E57" s="863" t="s">
        <v>153</v>
      </c>
      <c r="F57" s="863" t="s">
        <v>153</v>
      </c>
      <c r="H57" s="213" t="s">
        <v>2981</v>
      </c>
      <c r="I57" s="213" t="s">
        <v>2982</v>
      </c>
      <c r="J57" s="213"/>
      <c r="K57" s="213"/>
      <c r="L57" s="213"/>
      <c r="M57" s="213"/>
      <c r="N57" s="213"/>
      <c r="O57" s="213"/>
      <c r="P57" s="213"/>
      <c r="Q57" s="213"/>
      <c r="R57" s="213"/>
    </row>
    <row r="58" spans="1:18">
      <c r="A58" s="860" t="s">
        <v>159</v>
      </c>
      <c r="B58" s="88" t="s">
        <v>153</v>
      </c>
      <c r="C58" s="862">
        <v>8</v>
      </c>
      <c r="D58" s="862">
        <v>8</v>
      </c>
      <c r="E58" s="863" t="s">
        <v>153</v>
      </c>
      <c r="F58" s="863" t="s">
        <v>153</v>
      </c>
      <c r="H58" s="213" t="s">
        <v>2983</v>
      </c>
      <c r="I58" s="213" t="s">
        <v>2984</v>
      </c>
      <c r="J58" s="213"/>
      <c r="K58" s="213"/>
      <c r="L58" s="213"/>
      <c r="M58" s="213"/>
      <c r="N58" s="213"/>
      <c r="O58" s="213"/>
      <c r="P58" s="213"/>
      <c r="Q58" s="213"/>
      <c r="R58" s="213"/>
    </row>
    <row r="59" spans="1:18">
      <c r="A59" s="860" t="s">
        <v>161</v>
      </c>
      <c r="B59" s="88" t="s">
        <v>153</v>
      </c>
      <c r="C59" s="862">
        <v>8</v>
      </c>
      <c r="D59" s="862">
        <v>8</v>
      </c>
      <c r="E59" s="88"/>
      <c r="F59" s="88"/>
      <c r="H59" s="213" t="s">
        <v>166</v>
      </c>
      <c r="I59" s="213" t="s">
        <v>2985</v>
      </c>
      <c r="J59" s="213"/>
      <c r="K59" s="213"/>
      <c r="L59" s="213"/>
      <c r="M59" s="213"/>
      <c r="N59" s="213"/>
      <c r="O59" s="213"/>
      <c r="P59" s="213"/>
      <c r="Q59" s="213"/>
      <c r="R59" s="213"/>
    </row>
    <row r="60" spans="1:18">
      <c r="A60" s="860" t="s">
        <v>162</v>
      </c>
      <c r="B60" s="88" t="s">
        <v>153</v>
      </c>
      <c r="C60" s="862">
        <v>8</v>
      </c>
      <c r="D60" s="863" t="s">
        <v>153</v>
      </c>
      <c r="E60" s="862">
        <v>4</v>
      </c>
      <c r="F60" s="862">
        <v>4</v>
      </c>
      <c r="G60" s="213"/>
      <c r="H60" s="864" t="s">
        <v>2986</v>
      </c>
      <c r="I60" s="213"/>
      <c r="J60" s="213"/>
      <c r="K60" s="213"/>
      <c r="L60" s="213"/>
      <c r="M60" s="213"/>
      <c r="N60" s="213"/>
      <c r="O60" s="213"/>
      <c r="P60" s="213"/>
      <c r="Q60" s="213"/>
      <c r="R60" s="213"/>
    </row>
    <row r="61" spans="1:18">
      <c r="A61" s="860" t="s">
        <v>163</v>
      </c>
      <c r="B61" s="88" t="s">
        <v>153</v>
      </c>
      <c r="C61" s="87"/>
      <c r="D61" s="862">
        <v>8</v>
      </c>
      <c r="E61" s="862">
        <v>4</v>
      </c>
      <c r="F61" s="862">
        <v>4</v>
      </c>
      <c r="G61" s="213"/>
      <c r="H61" s="213"/>
      <c r="I61" s="213"/>
      <c r="J61" s="213"/>
      <c r="K61" s="213"/>
      <c r="L61" s="213"/>
      <c r="M61" s="213"/>
      <c r="N61" s="213"/>
      <c r="O61" s="213"/>
      <c r="P61" s="213"/>
      <c r="Q61" s="213"/>
      <c r="R61" s="213"/>
    </row>
    <row r="62" spans="1:18">
      <c r="A62" s="860" t="s">
        <v>164</v>
      </c>
      <c r="B62" s="88" t="s">
        <v>153</v>
      </c>
      <c r="C62" s="862">
        <v>4</v>
      </c>
      <c r="D62" s="862">
        <v>4</v>
      </c>
      <c r="E62" s="862">
        <v>4</v>
      </c>
      <c r="F62" s="862">
        <v>4</v>
      </c>
      <c r="H62" s="213"/>
      <c r="I62" s="213"/>
      <c r="J62" s="213"/>
      <c r="K62" s="213"/>
      <c r="L62" s="213"/>
      <c r="M62" s="213"/>
      <c r="N62" s="213"/>
      <c r="O62" s="213"/>
      <c r="P62" s="213"/>
      <c r="Q62" s="213"/>
      <c r="R62" s="213"/>
    </row>
    <row r="63" spans="1:18">
      <c r="A63" s="213"/>
      <c r="B63" s="213"/>
      <c r="C63" s="213"/>
      <c r="D63" s="213"/>
      <c r="E63" s="213"/>
      <c r="F63" s="213"/>
      <c r="G63" s="213"/>
      <c r="H63" s="213"/>
      <c r="I63" s="213"/>
      <c r="J63" s="213"/>
      <c r="K63" s="213"/>
      <c r="L63" s="213"/>
      <c r="M63" s="213"/>
      <c r="N63" s="213"/>
      <c r="O63" s="213"/>
      <c r="P63" s="213"/>
      <c r="Q63" s="213"/>
      <c r="R63" s="213"/>
    </row>
    <row r="64" spans="1:18">
      <c r="A64" s="860" t="s">
        <v>144</v>
      </c>
      <c r="B64" s="860" t="s">
        <v>145</v>
      </c>
      <c r="C64" s="860" t="s">
        <v>146</v>
      </c>
      <c r="D64" s="860" t="s">
        <v>147</v>
      </c>
      <c r="E64" s="860" t="s">
        <v>148</v>
      </c>
      <c r="F64" s="860" t="s">
        <v>149</v>
      </c>
      <c r="G64" s="213"/>
      <c r="H64" s="213" t="s">
        <v>2987</v>
      </c>
      <c r="I64" s="213"/>
      <c r="J64" s="213"/>
      <c r="K64" s="213"/>
      <c r="L64" s="213"/>
      <c r="M64" s="213"/>
      <c r="N64" s="213"/>
      <c r="O64" s="213"/>
      <c r="P64" s="213"/>
      <c r="Q64" s="213"/>
      <c r="R64" s="213"/>
    </row>
    <row r="65" spans="1:18">
      <c r="A65" s="860" t="s">
        <v>152</v>
      </c>
      <c r="B65" s="88" t="s">
        <v>153</v>
      </c>
      <c r="C65" s="861">
        <v>8</v>
      </c>
      <c r="D65" s="861" t="s">
        <v>2988</v>
      </c>
      <c r="E65" s="88" t="s">
        <v>153</v>
      </c>
      <c r="F65" s="88" t="s">
        <v>153</v>
      </c>
      <c r="G65" s="213"/>
      <c r="H65" s="864" t="s">
        <v>2989</v>
      </c>
      <c r="I65" s="213"/>
      <c r="J65" s="213"/>
      <c r="K65" s="213"/>
      <c r="L65" s="213"/>
      <c r="M65" s="213"/>
      <c r="N65" s="213"/>
      <c r="O65" s="213"/>
      <c r="P65" s="213"/>
      <c r="Q65" s="213"/>
      <c r="R65" s="213"/>
    </row>
    <row r="66" spans="1:18">
      <c r="A66" s="860" t="s">
        <v>157</v>
      </c>
      <c r="B66" s="88" t="s">
        <v>153</v>
      </c>
      <c r="C66" s="862">
        <v>4</v>
      </c>
      <c r="D66" s="862">
        <v>4</v>
      </c>
      <c r="E66" s="862">
        <v>4</v>
      </c>
      <c r="F66" s="862">
        <v>4</v>
      </c>
      <c r="G66" s="213"/>
      <c r="H66" s="213" t="s">
        <v>2990</v>
      </c>
      <c r="I66" s="213"/>
      <c r="J66" s="213"/>
      <c r="K66" s="213"/>
      <c r="L66" s="213"/>
      <c r="M66" s="213"/>
      <c r="N66" s="213"/>
      <c r="O66" s="213"/>
      <c r="P66" s="213"/>
      <c r="Q66" s="213"/>
      <c r="R66" s="213"/>
    </row>
    <row r="67" spans="1:18">
      <c r="A67" s="860" t="s">
        <v>159</v>
      </c>
      <c r="B67" s="88" t="s">
        <v>153</v>
      </c>
      <c r="C67" s="862">
        <v>8</v>
      </c>
      <c r="D67" s="863" t="s">
        <v>153</v>
      </c>
      <c r="E67" s="862">
        <v>4</v>
      </c>
      <c r="F67" s="862">
        <v>4</v>
      </c>
      <c r="G67" s="213"/>
      <c r="H67" s="213" t="s">
        <v>2991</v>
      </c>
      <c r="I67" s="213"/>
      <c r="J67" s="213"/>
      <c r="K67" s="213"/>
      <c r="L67" s="213"/>
      <c r="M67" s="213"/>
      <c r="N67" s="213"/>
      <c r="O67" s="213"/>
      <c r="P67" s="213"/>
      <c r="Q67" s="213"/>
      <c r="R67" s="213"/>
    </row>
    <row r="68" spans="1:18">
      <c r="A68" s="860" t="s">
        <v>161</v>
      </c>
      <c r="B68" s="88" t="s">
        <v>153</v>
      </c>
      <c r="C68" s="863" t="s">
        <v>153</v>
      </c>
      <c r="D68" s="862">
        <v>8</v>
      </c>
      <c r="E68" s="862">
        <v>4</v>
      </c>
      <c r="F68" s="862">
        <v>4</v>
      </c>
      <c r="G68" s="213"/>
      <c r="H68" s="213" t="s">
        <v>2992</v>
      </c>
      <c r="I68" s="213"/>
      <c r="J68" s="213"/>
      <c r="K68" s="213"/>
      <c r="L68" s="213"/>
      <c r="M68" s="213"/>
      <c r="N68" s="213"/>
      <c r="O68" s="213"/>
      <c r="P68" s="213"/>
      <c r="Q68" s="213"/>
      <c r="R68" s="213"/>
    </row>
    <row r="69" spans="1:18">
      <c r="A69" s="860" t="s">
        <v>162</v>
      </c>
      <c r="B69" s="88" t="s">
        <v>153</v>
      </c>
      <c r="C69" s="862">
        <v>8</v>
      </c>
      <c r="D69" s="862">
        <v>8</v>
      </c>
      <c r="E69" s="88" t="s">
        <v>153</v>
      </c>
      <c r="F69" s="88" t="s">
        <v>153</v>
      </c>
      <c r="G69" s="213"/>
      <c r="H69" s="213" t="s">
        <v>2993</v>
      </c>
      <c r="I69" s="213"/>
      <c r="J69" s="213"/>
      <c r="K69" s="213"/>
      <c r="L69" s="213"/>
      <c r="M69" s="213"/>
      <c r="N69" s="213"/>
      <c r="O69" s="213"/>
      <c r="P69" s="213"/>
      <c r="Q69" s="213"/>
      <c r="R69" s="213"/>
    </row>
    <row r="70" spans="1:18">
      <c r="A70" s="860" t="s">
        <v>163</v>
      </c>
      <c r="B70" s="88" t="s">
        <v>153</v>
      </c>
      <c r="C70" s="862">
        <v>8</v>
      </c>
      <c r="D70" s="862">
        <v>8</v>
      </c>
      <c r="E70" s="863" t="s">
        <v>153</v>
      </c>
      <c r="F70" s="863" t="s">
        <v>153</v>
      </c>
      <c r="G70" s="213"/>
      <c r="H70" s="213"/>
      <c r="I70" s="213"/>
      <c r="J70" s="213"/>
      <c r="K70" s="213"/>
      <c r="L70" s="213"/>
      <c r="M70" s="213"/>
      <c r="N70" s="213"/>
      <c r="O70" s="213"/>
      <c r="P70" s="213"/>
      <c r="Q70" s="213"/>
      <c r="R70" s="213"/>
    </row>
    <row r="71" spans="1:18">
      <c r="A71" s="860" t="s">
        <v>164</v>
      </c>
      <c r="B71" s="88" t="s">
        <v>153</v>
      </c>
      <c r="C71" s="862">
        <v>16</v>
      </c>
      <c r="D71" s="863" t="s">
        <v>153</v>
      </c>
      <c r="E71" s="863" t="s">
        <v>153</v>
      </c>
      <c r="F71" s="863" t="s">
        <v>153</v>
      </c>
      <c r="G71" s="213"/>
      <c r="H71" s="213"/>
      <c r="I71" s="213"/>
      <c r="J71" s="213"/>
      <c r="K71" s="213"/>
      <c r="L71" s="213"/>
      <c r="M71" s="213"/>
      <c r="N71" s="213"/>
      <c r="O71" s="213"/>
      <c r="P71" s="213"/>
      <c r="Q71" s="213"/>
      <c r="R71" s="213"/>
    </row>
    <row r="72" spans="1:18">
      <c r="A72" s="213"/>
      <c r="B72" s="213"/>
      <c r="C72" s="213"/>
      <c r="D72" s="213"/>
      <c r="E72" s="213"/>
      <c r="F72" s="213"/>
      <c r="G72" s="213"/>
      <c r="H72" s="213"/>
      <c r="I72" s="213"/>
      <c r="J72" s="213"/>
      <c r="K72" s="213"/>
      <c r="L72" s="213"/>
      <c r="M72" s="213"/>
      <c r="N72" s="213"/>
      <c r="O72" s="213"/>
      <c r="P72" s="213"/>
      <c r="Q72" s="213"/>
      <c r="R72" s="213"/>
    </row>
    <row r="73" spans="1:18">
      <c r="A73" s="860" t="s">
        <v>144</v>
      </c>
      <c r="B73" s="860" t="s">
        <v>145</v>
      </c>
      <c r="C73" s="860" t="s">
        <v>146</v>
      </c>
      <c r="D73" s="860" t="s">
        <v>147</v>
      </c>
      <c r="E73" s="860" t="s">
        <v>148</v>
      </c>
      <c r="F73" s="860" t="s">
        <v>149</v>
      </c>
      <c r="G73" s="213"/>
      <c r="H73" s="213" t="s">
        <v>2994</v>
      </c>
      <c r="I73" s="213"/>
      <c r="J73" s="213"/>
      <c r="K73" s="213"/>
      <c r="L73" s="213"/>
      <c r="M73" s="213"/>
      <c r="N73" s="213"/>
      <c r="O73" s="213"/>
      <c r="P73" s="213"/>
      <c r="Q73" s="213"/>
      <c r="R73" s="213"/>
    </row>
    <row r="74" spans="1:18">
      <c r="A74" s="860" t="s">
        <v>152</v>
      </c>
      <c r="B74" s="88" t="s">
        <v>153</v>
      </c>
      <c r="C74" s="861">
        <v>4</v>
      </c>
      <c r="D74" s="861">
        <v>4</v>
      </c>
      <c r="E74" s="861" t="s">
        <v>2995</v>
      </c>
      <c r="F74" s="861">
        <v>4</v>
      </c>
      <c r="G74" s="213"/>
      <c r="H74" s="864" t="s">
        <v>2996</v>
      </c>
      <c r="I74" s="213" t="s">
        <v>2997</v>
      </c>
      <c r="J74" s="213"/>
      <c r="K74" s="213"/>
      <c r="L74" s="213"/>
      <c r="M74" s="213"/>
      <c r="N74" s="213"/>
      <c r="O74" s="213"/>
      <c r="P74" s="213"/>
      <c r="Q74" s="213"/>
      <c r="R74" s="213"/>
    </row>
    <row r="75" spans="1:18">
      <c r="A75" s="860" t="s">
        <v>157</v>
      </c>
      <c r="B75" s="88" t="s">
        <v>153</v>
      </c>
      <c r="C75" s="862">
        <v>16</v>
      </c>
      <c r="D75" s="863" t="s">
        <v>153</v>
      </c>
      <c r="E75" s="863" t="s">
        <v>153</v>
      </c>
      <c r="F75" s="863" t="s">
        <v>153</v>
      </c>
      <c r="G75" s="213"/>
      <c r="H75" s="213" t="s">
        <v>2998</v>
      </c>
      <c r="I75" s="213"/>
      <c r="J75" s="213"/>
      <c r="K75" s="213"/>
      <c r="L75" s="213"/>
      <c r="M75" s="213"/>
      <c r="N75" s="213"/>
      <c r="O75" s="213"/>
      <c r="P75" s="213"/>
      <c r="Q75" s="213"/>
      <c r="R75" s="213"/>
    </row>
    <row r="76" spans="1:18">
      <c r="A76" s="860" t="s">
        <v>159</v>
      </c>
      <c r="B76" s="88" t="s">
        <v>153</v>
      </c>
      <c r="C76" s="862">
        <v>8</v>
      </c>
      <c r="D76" s="862">
        <v>8</v>
      </c>
      <c r="E76" s="863" t="s">
        <v>153</v>
      </c>
      <c r="F76" s="863" t="s">
        <v>153</v>
      </c>
      <c r="G76" s="213"/>
      <c r="H76" s="213" t="s">
        <v>2999</v>
      </c>
      <c r="I76" s="213"/>
      <c r="J76" s="213"/>
      <c r="K76" s="213"/>
      <c r="L76" s="213"/>
      <c r="M76" s="213"/>
      <c r="N76" s="213"/>
      <c r="O76" s="213"/>
      <c r="P76" s="213"/>
      <c r="Q76" s="213"/>
      <c r="R76" s="213"/>
    </row>
    <row r="77" spans="1:18">
      <c r="A77" s="860" t="s">
        <v>161</v>
      </c>
      <c r="B77" s="88" t="s">
        <v>153</v>
      </c>
      <c r="C77" s="862">
        <v>8</v>
      </c>
      <c r="D77" s="862">
        <v>8</v>
      </c>
      <c r="E77" s="88"/>
      <c r="F77" s="88"/>
      <c r="G77" s="213"/>
      <c r="H77" s="213" t="s">
        <v>3000</v>
      </c>
      <c r="I77" s="213"/>
      <c r="J77" s="213"/>
      <c r="K77" s="213"/>
      <c r="L77" s="213"/>
      <c r="M77" s="213"/>
      <c r="N77" s="213"/>
      <c r="O77" s="213"/>
      <c r="P77" s="213"/>
      <c r="Q77" s="213"/>
      <c r="R77" s="213"/>
    </row>
    <row r="78" spans="1:18">
      <c r="A78" s="860" t="s">
        <v>162</v>
      </c>
      <c r="B78" s="88" t="s">
        <v>153</v>
      </c>
      <c r="C78" s="862">
        <v>8</v>
      </c>
      <c r="D78" s="863" t="s">
        <v>153</v>
      </c>
      <c r="E78" s="862">
        <v>4</v>
      </c>
      <c r="F78" s="862">
        <v>4</v>
      </c>
      <c r="G78" s="213"/>
      <c r="H78" s="213" t="s">
        <v>3001</v>
      </c>
      <c r="I78" s="213"/>
      <c r="J78" s="213"/>
      <c r="K78" s="213"/>
      <c r="L78" s="213"/>
      <c r="M78" s="213"/>
      <c r="N78" s="213"/>
      <c r="O78" s="213"/>
      <c r="P78" s="213"/>
      <c r="Q78" s="213"/>
      <c r="R78" s="213"/>
    </row>
    <row r="79" spans="1:18">
      <c r="A79" s="860" t="s">
        <v>163</v>
      </c>
      <c r="B79" s="88" t="s">
        <v>153</v>
      </c>
      <c r="C79" s="87"/>
      <c r="D79" s="862">
        <v>8</v>
      </c>
      <c r="E79" s="862">
        <v>4</v>
      </c>
      <c r="F79" s="862">
        <v>4</v>
      </c>
      <c r="G79" s="213"/>
      <c r="I79" s="213"/>
      <c r="J79" s="213"/>
      <c r="K79" s="213"/>
      <c r="L79" s="213"/>
      <c r="M79" s="213"/>
      <c r="N79" s="213"/>
      <c r="O79" s="213"/>
      <c r="P79" s="213"/>
      <c r="Q79" s="213"/>
      <c r="R79" s="213"/>
    </row>
    <row r="80" spans="1:18">
      <c r="A80" s="860" t="s">
        <v>164</v>
      </c>
      <c r="B80" s="88" t="s">
        <v>153</v>
      </c>
      <c r="C80" s="862">
        <v>4</v>
      </c>
      <c r="D80" s="862">
        <v>4</v>
      </c>
      <c r="E80" s="862">
        <v>4</v>
      </c>
      <c r="F80" s="862">
        <v>4</v>
      </c>
      <c r="G80" s="213"/>
      <c r="H80" s="213"/>
      <c r="I80" s="213"/>
      <c r="J80" s="213"/>
      <c r="K80" s="213"/>
      <c r="L80" s="213"/>
      <c r="M80" s="213"/>
      <c r="N80" s="213"/>
      <c r="O80" s="213"/>
      <c r="P80" s="213"/>
      <c r="Q80" s="213"/>
      <c r="R80" s="213"/>
    </row>
    <row r="81" spans="1:18">
      <c r="J81" s="213"/>
      <c r="K81" s="213"/>
      <c r="L81" s="213"/>
      <c r="M81" s="213"/>
      <c r="N81" s="213"/>
      <c r="O81" s="213"/>
      <c r="P81" s="213"/>
      <c r="Q81" s="213"/>
      <c r="R81" s="213"/>
    </row>
    <row r="82" spans="1:18">
      <c r="A82" s="860" t="s">
        <v>144</v>
      </c>
      <c r="B82" s="860" t="s">
        <v>145</v>
      </c>
      <c r="C82" s="860" t="s">
        <v>146</v>
      </c>
      <c r="D82" s="860" t="s">
        <v>147</v>
      </c>
      <c r="E82" s="860" t="s">
        <v>148</v>
      </c>
      <c r="F82" s="860" t="s">
        <v>149</v>
      </c>
      <c r="G82" s="213"/>
      <c r="H82" s="213" t="s">
        <v>170</v>
      </c>
      <c r="I82" s="213" t="s">
        <v>3002</v>
      </c>
      <c r="J82" s="213"/>
      <c r="K82" s="213"/>
      <c r="L82" s="213"/>
      <c r="M82" s="213"/>
      <c r="N82" s="213"/>
      <c r="O82" s="213"/>
      <c r="P82" s="213"/>
      <c r="Q82" s="213"/>
      <c r="R82" s="213"/>
    </row>
    <row r="83" spans="1:18">
      <c r="A83" s="860" t="s">
        <v>152</v>
      </c>
      <c r="B83" s="88" t="s">
        <v>153</v>
      </c>
      <c r="C83" s="862">
        <v>16</v>
      </c>
      <c r="D83" s="88" t="s">
        <v>153</v>
      </c>
      <c r="E83" s="88" t="s">
        <v>153</v>
      </c>
      <c r="F83" s="88" t="s">
        <v>153</v>
      </c>
      <c r="G83" s="213"/>
      <c r="H83" s="213"/>
      <c r="I83" s="213"/>
      <c r="J83" s="213"/>
      <c r="K83" s="213"/>
      <c r="L83" s="213"/>
      <c r="M83" s="213"/>
      <c r="N83" s="213"/>
      <c r="O83" s="213"/>
      <c r="P83" s="213"/>
      <c r="Q83" s="213"/>
      <c r="R83" s="213"/>
    </row>
    <row r="84" spans="1:18">
      <c r="A84" s="860" t="s">
        <v>157</v>
      </c>
      <c r="B84" s="88" t="s">
        <v>153</v>
      </c>
      <c r="C84" s="862">
        <v>16</v>
      </c>
      <c r="D84" s="863" t="s">
        <v>153</v>
      </c>
      <c r="E84" s="863" t="s">
        <v>153</v>
      </c>
      <c r="F84" s="863" t="s">
        <v>153</v>
      </c>
      <c r="G84" s="213"/>
      <c r="H84" s="213"/>
      <c r="I84" s="213"/>
      <c r="J84" s="213"/>
      <c r="K84" s="213"/>
      <c r="L84" s="213"/>
      <c r="M84" s="213"/>
      <c r="N84" s="213"/>
      <c r="O84" s="213"/>
      <c r="P84" s="213"/>
      <c r="Q84" s="213"/>
      <c r="R84" s="213"/>
    </row>
    <row r="85" spans="1:18">
      <c r="A85" s="860" t="s">
        <v>159</v>
      </c>
      <c r="B85" s="88" t="s">
        <v>153</v>
      </c>
      <c r="C85" s="862">
        <v>16</v>
      </c>
      <c r="D85" s="863" t="s">
        <v>153</v>
      </c>
      <c r="E85" s="863" t="s">
        <v>153</v>
      </c>
      <c r="F85" s="863" t="s">
        <v>153</v>
      </c>
      <c r="G85" s="213"/>
      <c r="H85" s="213"/>
      <c r="I85" s="213"/>
      <c r="J85" s="213"/>
      <c r="K85" s="213"/>
      <c r="L85" s="213"/>
      <c r="M85" s="213"/>
      <c r="N85" s="213"/>
      <c r="O85" s="213"/>
      <c r="P85" s="213"/>
      <c r="Q85" s="213"/>
      <c r="R85" s="213"/>
    </row>
    <row r="86" spans="1:18">
      <c r="A86" s="860" t="s">
        <v>161</v>
      </c>
      <c r="B86" s="88" t="s">
        <v>153</v>
      </c>
      <c r="C86" s="862">
        <v>16</v>
      </c>
      <c r="D86" s="863" t="s">
        <v>153</v>
      </c>
      <c r="E86" s="88" t="s">
        <v>153</v>
      </c>
      <c r="F86" s="88" t="s">
        <v>153</v>
      </c>
      <c r="G86" s="213"/>
      <c r="H86" s="213"/>
      <c r="I86" s="213"/>
      <c r="J86" s="213"/>
      <c r="K86" s="213"/>
      <c r="L86" s="213"/>
      <c r="M86" s="213"/>
      <c r="N86" s="213"/>
      <c r="O86" s="213"/>
      <c r="P86" s="213"/>
      <c r="Q86" s="213"/>
      <c r="R86" s="213"/>
    </row>
    <row r="87" spans="1:18">
      <c r="A87" s="860" t="s">
        <v>162</v>
      </c>
      <c r="B87" s="88" t="s">
        <v>153</v>
      </c>
      <c r="C87" s="861" t="s">
        <v>2978</v>
      </c>
      <c r="D87" s="863" t="s">
        <v>153</v>
      </c>
      <c r="E87" s="863" t="s">
        <v>153</v>
      </c>
      <c r="F87" s="863" t="s">
        <v>153</v>
      </c>
      <c r="G87" s="213"/>
      <c r="H87" s="213"/>
      <c r="I87" s="213"/>
      <c r="J87" s="213"/>
      <c r="K87" s="213"/>
      <c r="L87" s="213"/>
      <c r="M87" s="213"/>
      <c r="N87" s="213"/>
      <c r="O87" s="213"/>
      <c r="P87" s="213"/>
      <c r="Q87" s="213"/>
      <c r="R87" s="213"/>
    </row>
    <row r="88" spans="1:18">
      <c r="A88" s="860" t="s">
        <v>163</v>
      </c>
      <c r="B88" s="88" t="s">
        <v>153</v>
      </c>
      <c r="C88" s="862">
        <v>16</v>
      </c>
      <c r="D88" s="863" t="s">
        <v>153</v>
      </c>
      <c r="E88" s="863" t="s">
        <v>153</v>
      </c>
      <c r="F88" s="863" t="s">
        <v>153</v>
      </c>
      <c r="G88" s="213"/>
      <c r="H88" s="213"/>
      <c r="I88" s="213"/>
      <c r="J88" s="213"/>
      <c r="K88" s="213"/>
      <c r="L88" s="213"/>
      <c r="M88" s="213"/>
      <c r="N88" s="213"/>
      <c r="O88" s="213"/>
      <c r="P88" s="213"/>
      <c r="Q88" s="213"/>
      <c r="R88" s="213"/>
    </row>
    <row r="89" spans="1:18">
      <c r="A89" s="860" t="s">
        <v>164</v>
      </c>
      <c r="B89" s="88" t="s">
        <v>153</v>
      </c>
      <c r="C89" s="862">
        <v>16</v>
      </c>
      <c r="D89" s="863" t="s">
        <v>153</v>
      </c>
      <c r="E89" s="863" t="s">
        <v>153</v>
      </c>
      <c r="F89" s="863" t="s">
        <v>153</v>
      </c>
      <c r="G89" s="213"/>
      <c r="H89" s="213"/>
      <c r="I89" s="213"/>
      <c r="J89" s="213"/>
      <c r="K89" s="213"/>
      <c r="L89" s="213"/>
      <c r="M89" s="213"/>
      <c r="N89" s="213"/>
      <c r="O89" s="213"/>
      <c r="P89" s="213"/>
      <c r="Q89" s="213"/>
      <c r="R89" s="213"/>
    </row>
    <row r="90" spans="1:18">
      <c r="A90" s="213"/>
      <c r="B90" s="213"/>
      <c r="C90" s="213"/>
      <c r="D90" s="213"/>
      <c r="E90" s="213"/>
      <c r="F90" s="213"/>
      <c r="G90" s="213"/>
      <c r="H90" s="213"/>
      <c r="I90" s="213"/>
      <c r="J90" s="213"/>
      <c r="K90" s="213"/>
      <c r="L90" s="213"/>
      <c r="M90" s="213"/>
      <c r="N90" s="213"/>
      <c r="O90" s="213"/>
      <c r="P90" s="213"/>
      <c r="Q90" s="213"/>
      <c r="R90" s="213"/>
    </row>
    <row r="91" spans="1:18">
      <c r="A91" s="983" t="s">
        <v>3268</v>
      </c>
      <c r="B91" s="984"/>
      <c r="C91" s="984"/>
      <c r="D91" s="984"/>
      <c r="E91" s="984"/>
      <c r="F91" s="984"/>
      <c r="J91" s="213"/>
      <c r="K91" s="213"/>
      <c r="L91" s="213"/>
      <c r="M91" s="213"/>
      <c r="N91" s="213"/>
      <c r="O91" s="213"/>
      <c r="P91" s="213"/>
      <c r="Q91" s="213"/>
      <c r="R91" s="213"/>
    </row>
    <row r="92" spans="1:18">
      <c r="A92" s="865" t="s">
        <v>111</v>
      </c>
      <c r="B92" s="865" t="s">
        <v>112</v>
      </c>
      <c r="C92" s="865" t="s">
        <v>113</v>
      </c>
      <c r="D92" s="866" t="s">
        <v>114</v>
      </c>
      <c r="E92" s="867" t="s">
        <v>3003</v>
      </c>
      <c r="F92" s="868" t="s">
        <v>3004</v>
      </c>
      <c r="J92" s="213"/>
      <c r="K92" s="213"/>
      <c r="L92" s="213"/>
      <c r="M92" s="213"/>
      <c r="N92" s="213"/>
      <c r="O92" s="213"/>
      <c r="P92" s="213"/>
      <c r="Q92" s="213"/>
      <c r="R92" s="213"/>
    </row>
    <row r="93" spans="1:18">
      <c r="A93" s="40" t="s">
        <v>121</v>
      </c>
      <c r="B93" s="40"/>
      <c r="C93" s="40"/>
      <c r="D93" s="42"/>
      <c r="E93" s="604"/>
      <c r="F93" s="87"/>
      <c r="J93" s="213"/>
      <c r="K93" s="213"/>
      <c r="L93" s="213"/>
      <c r="M93" s="213"/>
      <c r="N93" s="213"/>
      <c r="O93" s="213"/>
      <c r="P93" s="213"/>
      <c r="Q93" s="213"/>
      <c r="R93" s="213"/>
    </row>
    <row r="94" spans="1:18" ht="42">
      <c r="A94" s="40"/>
      <c r="B94" s="41">
        <v>3</v>
      </c>
      <c r="C94" s="40" t="s">
        <v>115</v>
      </c>
      <c r="D94" s="42" t="s">
        <v>116</v>
      </c>
      <c r="E94" s="869" t="s">
        <v>117</v>
      </c>
      <c r="F94" s="870" t="s">
        <v>3005</v>
      </c>
      <c r="J94" s="213"/>
      <c r="K94" s="213"/>
      <c r="L94" s="213"/>
      <c r="M94" s="213"/>
      <c r="N94" s="213"/>
      <c r="O94" s="213"/>
      <c r="P94" s="213"/>
      <c r="Q94" s="213"/>
      <c r="R94" s="213"/>
    </row>
    <row r="95" spans="1:18">
      <c r="A95" s="40"/>
      <c r="B95" s="41">
        <v>3</v>
      </c>
      <c r="C95" s="40" t="s">
        <v>118</v>
      </c>
      <c r="D95" s="42" t="s">
        <v>119</v>
      </c>
      <c r="E95" s="869" t="s">
        <v>120</v>
      </c>
      <c r="F95" s="871" t="s">
        <v>3006</v>
      </c>
      <c r="J95" s="213"/>
      <c r="K95" s="213"/>
      <c r="L95" s="213"/>
      <c r="M95" s="213"/>
      <c r="N95" s="213"/>
      <c r="O95" s="213"/>
      <c r="P95" s="213"/>
      <c r="Q95" s="213"/>
      <c r="R95" s="213"/>
    </row>
    <row r="96" spans="1:18">
      <c r="A96" s="44"/>
      <c r="B96" s="45">
        <v>3</v>
      </c>
      <c r="C96" s="44" t="s">
        <v>122</v>
      </c>
      <c r="D96" s="46" t="s">
        <v>116</v>
      </c>
      <c r="E96" s="869" t="s">
        <v>123</v>
      </c>
      <c r="F96" s="872" t="s">
        <v>3007</v>
      </c>
      <c r="J96" s="213"/>
      <c r="K96" s="213"/>
      <c r="L96" s="213"/>
      <c r="M96" s="213"/>
      <c r="N96" s="213"/>
      <c r="O96" s="213"/>
      <c r="P96" s="213"/>
      <c r="Q96" s="213"/>
      <c r="R96" s="213"/>
    </row>
    <row r="97" spans="1:18">
      <c r="A97" s="40" t="s">
        <v>2924</v>
      </c>
      <c r="B97" s="40"/>
      <c r="C97" s="40"/>
      <c r="D97" s="42"/>
      <c r="E97" s="604"/>
      <c r="F97" s="87"/>
      <c r="J97" s="213"/>
      <c r="K97" s="213"/>
      <c r="L97" s="213"/>
      <c r="M97" s="213"/>
      <c r="N97" s="213"/>
      <c r="O97" s="213"/>
      <c r="P97" s="213"/>
      <c r="Q97" s="213"/>
      <c r="R97" s="213"/>
    </row>
    <row r="98" spans="1:18">
      <c r="A98" s="40"/>
      <c r="B98" s="41">
        <v>3</v>
      </c>
      <c r="C98" s="40" t="s">
        <v>124</v>
      </c>
      <c r="D98" s="42" t="s">
        <v>125</v>
      </c>
      <c r="E98" s="869" t="s">
        <v>126</v>
      </c>
      <c r="F98" s="870" t="s">
        <v>3008</v>
      </c>
      <c r="J98" s="213"/>
      <c r="K98" s="213"/>
      <c r="L98" s="213"/>
      <c r="M98" s="213"/>
      <c r="N98" s="213"/>
      <c r="O98" s="213"/>
      <c r="P98" s="213"/>
      <c r="Q98" s="213"/>
      <c r="R98" s="213"/>
    </row>
    <row r="99" spans="1:18">
      <c r="A99" s="40"/>
      <c r="B99" s="41">
        <v>3</v>
      </c>
      <c r="C99" s="40" t="s">
        <v>128</v>
      </c>
      <c r="D99" s="42" t="s">
        <v>129</v>
      </c>
      <c r="E99" s="869" t="s">
        <v>130</v>
      </c>
      <c r="F99" s="87" t="s">
        <v>3009</v>
      </c>
      <c r="J99" s="213"/>
      <c r="K99" s="213"/>
      <c r="L99" s="213"/>
      <c r="M99" s="213"/>
      <c r="N99" s="213"/>
      <c r="O99" s="213"/>
      <c r="P99" s="213"/>
      <c r="Q99" s="213"/>
      <c r="R99" s="213"/>
    </row>
    <row r="100" spans="1:18">
      <c r="A100" s="47" t="s">
        <v>131</v>
      </c>
      <c r="B100" s="48">
        <v>3</v>
      </c>
      <c r="C100" s="47" t="s">
        <v>132</v>
      </c>
      <c r="D100" s="49" t="s">
        <v>133</v>
      </c>
      <c r="E100" s="873" t="s">
        <v>134</v>
      </c>
      <c r="F100" s="87" t="s">
        <v>3009</v>
      </c>
      <c r="G100" s="213"/>
      <c r="H100" s="213"/>
      <c r="I100" s="213"/>
      <c r="J100" s="213"/>
      <c r="K100" s="213"/>
      <c r="L100" s="213"/>
      <c r="M100" s="213"/>
      <c r="N100" s="213"/>
      <c r="O100" s="213"/>
      <c r="P100" s="213"/>
      <c r="Q100" s="213"/>
      <c r="R100" s="213"/>
    </row>
    <row r="101" spans="1:18">
      <c r="A101" s="47" t="s">
        <v>135</v>
      </c>
      <c r="B101" s="48">
        <v>3</v>
      </c>
      <c r="C101" s="47" t="s">
        <v>136</v>
      </c>
      <c r="D101" s="49" t="s">
        <v>133</v>
      </c>
      <c r="E101" s="874" t="s">
        <v>137</v>
      </c>
      <c r="F101" s="87" t="s">
        <v>3009</v>
      </c>
      <c r="G101" s="213"/>
      <c r="H101" s="213"/>
      <c r="I101" s="213"/>
      <c r="J101" s="213"/>
      <c r="K101" s="213"/>
      <c r="L101" s="213"/>
      <c r="M101" s="213"/>
      <c r="N101" s="213"/>
      <c r="O101" s="213"/>
      <c r="P101" s="213"/>
      <c r="Q101" s="213"/>
      <c r="R101" s="213"/>
    </row>
    <row r="102" spans="1:18">
      <c r="A102" s="40" t="s">
        <v>138</v>
      </c>
      <c r="B102" s="41">
        <v>3</v>
      </c>
      <c r="C102" s="40" t="s">
        <v>139</v>
      </c>
      <c r="D102" s="42" t="s">
        <v>140</v>
      </c>
      <c r="E102" s="869" t="s">
        <v>141</v>
      </c>
      <c r="F102" s="87" t="s">
        <v>3009</v>
      </c>
      <c r="G102" s="213"/>
      <c r="H102" s="213"/>
      <c r="I102" s="213"/>
      <c r="J102" s="213"/>
      <c r="K102" s="213"/>
      <c r="L102" s="213"/>
      <c r="M102" s="213"/>
      <c r="N102" s="213"/>
      <c r="O102" s="213"/>
      <c r="P102" s="213"/>
      <c r="Q102" s="213"/>
      <c r="R102" s="213"/>
    </row>
    <row r="103" spans="1:18">
      <c r="A103" s="213"/>
      <c r="B103" s="213"/>
      <c r="C103" s="213"/>
      <c r="D103" s="213"/>
      <c r="E103" s="213"/>
      <c r="F103" s="213"/>
      <c r="G103" s="213"/>
      <c r="H103" s="213"/>
      <c r="I103" s="213"/>
      <c r="J103" s="213"/>
      <c r="K103" s="213"/>
      <c r="L103" s="213"/>
      <c r="M103" s="213"/>
      <c r="N103" s="213"/>
      <c r="O103" s="213"/>
      <c r="P103" s="213"/>
      <c r="Q103" s="213"/>
      <c r="R103" s="213"/>
    </row>
    <row r="104" spans="1:18">
      <c r="A104" s="213"/>
      <c r="B104" s="213"/>
      <c r="C104" s="213"/>
      <c r="D104" s="213"/>
      <c r="E104" s="213"/>
      <c r="F104" s="213"/>
      <c r="G104" s="213"/>
      <c r="H104" s="213"/>
      <c r="I104" s="213"/>
      <c r="J104" s="213"/>
      <c r="K104" s="213"/>
      <c r="L104" s="213"/>
      <c r="M104" s="213"/>
      <c r="N104" s="213"/>
      <c r="O104" s="213"/>
      <c r="P104" s="213"/>
      <c r="Q104" s="213"/>
      <c r="R104" s="213"/>
    </row>
    <row r="105" spans="1:18">
      <c r="A105" s="213"/>
      <c r="B105" s="213"/>
      <c r="C105" s="213"/>
      <c r="D105" s="213"/>
      <c r="E105" s="213"/>
      <c r="F105" s="213"/>
      <c r="G105" s="213"/>
      <c r="H105" s="213"/>
      <c r="I105" s="213"/>
      <c r="J105" s="213"/>
      <c r="K105" s="213"/>
      <c r="L105" s="213"/>
      <c r="M105" s="213"/>
      <c r="N105" s="213"/>
      <c r="O105" s="213"/>
      <c r="P105" s="213"/>
      <c r="Q105" s="213"/>
      <c r="R105" s="213"/>
    </row>
    <row r="106" spans="1:18">
      <c r="A106" s="213"/>
      <c r="B106" s="213"/>
      <c r="C106" s="213"/>
      <c r="D106" s="213"/>
      <c r="E106" s="213"/>
      <c r="F106" s="213"/>
      <c r="G106" s="213"/>
      <c r="H106" s="213"/>
      <c r="I106" s="213"/>
      <c r="J106" s="213"/>
      <c r="K106" s="213"/>
      <c r="L106" s="213"/>
      <c r="M106" s="213"/>
      <c r="N106" s="213"/>
      <c r="O106" s="213"/>
      <c r="P106" s="213"/>
      <c r="Q106" s="213"/>
      <c r="R106" s="213"/>
    </row>
    <row r="107" spans="1:18">
      <c r="A107" s="213"/>
      <c r="B107" s="213"/>
      <c r="C107" s="213"/>
      <c r="D107" s="213"/>
      <c r="E107" s="213"/>
      <c r="F107" s="213"/>
      <c r="G107" s="213"/>
      <c r="H107" s="213"/>
      <c r="I107" s="213"/>
      <c r="J107" s="213"/>
      <c r="K107" s="213"/>
      <c r="L107" s="213"/>
      <c r="M107" s="213"/>
      <c r="N107" s="213"/>
      <c r="O107" s="213"/>
      <c r="P107" s="213"/>
      <c r="Q107" s="213"/>
      <c r="R107" s="213"/>
    </row>
    <row r="108" spans="1:18">
      <c r="A108" s="213"/>
      <c r="B108" s="213"/>
      <c r="C108" s="213"/>
      <c r="D108" s="213"/>
      <c r="E108" s="213"/>
      <c r="F108" s="213"/>
      <c r="G108" s="213"/>
      <c r="H108" s="213"/>
      <c r="I108" s="213"/>
      <c r="J108" s="213"/>
      <c r="K108" s="213"/>
      <c r="L108" s="213"/>
      <c r="M108" s="213"/>
      <c r="N108" s="213"/>
      <c r="O108" s="213"/>
      <c r="P108" s="213"/>
      <c r="Q108" s="213"/>
      <c r="R108" s="213"/>
    </row>
    <row r="109" spans="1:18">
      <c r="A109" s="213"/>
      <c r="B109" s="213"/>
      <c r="C109" s="213"/>
      <c r="D109" s="213"/>
      <c r="E109" s="213"/>
      <c r="F109" s="213"/>
      <c r="G109" s="213"/>
      <c r="H109" s="213"/>
      <c r="I109" s="213"/>
      <c r="J109" s="213"/>
      <c r="K109" s="213"/>
      <c r="L109" s="213"/>
      <c r="M109" s="213"/>
      <c r="N109" s="213"/>
      <c r="O109" s="213"/>
      <c r="P109" s="213"/>
      <c r="Q109" s="213"/>
      <c r="R109" s="213"/>
    </row>
    <row r="110" spans="1:18">
      <c r="A110" s="213"/>
      <c r="B110" s="213"/>
      <c r="C110" s="213"/>
      <c r="D110" s="213"/>
      <c r="E110" s="213"/>
      <c r="F110" s="213"/>
      <c r="G110" s="213"/>
      <c r="H110" s="213"/>
      <c r="I110" s="213"/>
      <c r="J110" s="213"/>
      <c r="K110" s="213"/>
      <c r="L110" s="213"/>
      <c r="M110" s="213"/>
      <c r="N110" s="213"/>
      <c r="O110" s="213"/>
      <c r="P110" s="213"/>
      <c r="Q110" s="213"/>
      <c r="R110" s="213"/>
    </row>
    <row r="111" spans="1:18">
      <c r="A111" s="213"/>
      <c r="B111" s="213"/>
      <c r="C111" s="213"/>
      <c r="D111" s="213"/>
      <c r="E111" s="213"/>
      <c r="F111" s="213"/>
      <c r="G111" s="213"/>
      <c r="H111" s="213"/>
      <c r="I111" s="213"/>
      <c r="J111" s="213"/>
      <c r="K111" s="213"/>
      <c r="L111" s="213"/>
      <c r="M111" s="213"/>
      <c r="N111" s="213"/>
      <c r="O111" s="213"/>
      <c r="P111" s="213"/>
      <c r="Q111" s="213"/>
      <c r="R111" s="213"/>
    </row>
    <row r="112" spans="1:18">
      <c r="A112" s="213"/>
      <c r="B112" s="213"/>
      <c r="C112" s="213"/>
      <c r="D112" s="213"/>
      <c r="E112" s="213"/>
      <c r="F112" s="213"/>
      <c r="G112" s="213"/>
      <c r="H112" s="213"/>
      <c r="I112" s="213"/>
      <c r="J112" s="213"/>
      <c r="K112" s="213"/>
      <c r="L112" s="213"/>
      <c r="M112" s="213"/>
      <c r="N112" s="213"/>
      <c r="O112" s="213"/>
      <c r="P112" s="213"/>
      <c r="Q112" s="213"/>
      <c r="R112" s="213"/>
    </row>
    <row r="113" spans="1:18">
      <c r="A113" s="213"/>
      <c r="B113" s="213"/>
      <c r="C113" s="213"/>
      <c r="D113" s="213"/>
      <c r="E113" s="213"/>
      <c r="F113" s="213"/>
      <c r="G113" s="213"/>
      <c r="H113" s="213"/>
      <c r="I113" s="213"/>
      <c r="J113" s="213"/>
      <c r="K113" s="213"/>
      <c r="L113" s="213"/>
      <c r="M113" s="213"/>
      <c r="N113" s="213"/>
      <c r="O113" s="213"/>
      <c r="P113" s="213"/>
      <c r="Q113" s="213"/>
      <c r="R113" s="213"/>
    </row>
    <row r="114" spans="1:18">
      <c r="A114" s="213"/>
      <c r="B114" s="213"/>
      <c r="C114" s="213"/>
      <c r="D114" s="213"/>
      <c r="E114" s="213"/>
      <c r="F114" s="213"/>
      <c r="G114" s="213"/>
      <c r="H114" s="213"/>
      <c r="I114" s="213"/>
      <c r="J114" s="213"/>
      <c r="K114" s="213"/>
      <c r="L114" s="213"/>
      <c r="M114" s="213"/>
      <c r="N114" s="213"/>
      <c r="O114" s="213"/>
      <c r="P114" s="213"/>
      <c r="Q114" s="213"/>
      <c r="R114" s="213"/>
    </row>
    <row r="115" spans="1:18">
      <c r="A115" s="213"/>
      <c r="B115" s="213"/>
      <c r="C115" s="213"/>
      <c r="D115" s="213"/>
      <c r="E115" s="213"/>
      <c r="F115" s="213"/>
      <c r="G115" s="213"/>
      <c r="H115" s="213"/>
      <c r="I115" s="213"/>
      <c r="J115" s="213"/>
      <c r="K115" s="213"/>
      <c r="L115" s="213"/>
      <c r="M115" s="213"/>
      <c r="N115" s="213"/>
      <c r="O115" s="213"/>
      <c r="P115" s="213"/>
      <c r="Q115" s="213"/>
      <c r="R115" s="213"/>
    </row>
    <row r="116" spans="1:18">
      <c r="A116" s="213"/>
      <c r="B116" s="213"/>
      <c r="C116" s="213"/>
      <c r="D116" s="213"/>
      <c r="E116" s="213"/>
      <c r="F116" s="213"/>
      <c r="G116" s="213"/>
      <c r="H116" s="213"/>
      <c r="I116" s="213"/>
      <c r="J116" s="213"/>
      <c r="K116" s="213"/>
      <c r="L116" s="213"/>
      <c r="M116" s="213"/>
      <c r="N116" s="213"/>
      <c r="O116" s="213"/>
      <c r="P116" s="213"/>
      <c r="Q116" s="213"/>
      <c r="R116" s="213"/>
    </row>
    <row r="117" spans="1:18">
      <c r="A117" s="213"/>
      <c r="B117" s="213"/>
      <c r="C117" s="213"/>
      <c r="D117" s="213"/>
      <c r="E117" s="213"/>
      <c r="F117" s="213"/>
      <c r="G117" s="213"/>
      <c r="H117" s="213"/>
      <c r="I117" s="213"/>
      <c r="J117" s="213"/>
      <c r="K117" s="213"/>
      <c r="L117" s="213"/>
      <c r="M117" s="213"/>
      <c r="N117" s="213"/>
      <c r="O117" s="213"/>
      <c r="P117" s="213"/>
      <c r="Q117" s="213"/>
      <c r="R117" s="213"/>
    </row>
    <row r="118" spans="1:18">
      <c r="A118" s="213"/>
      <c r="B118" s="213"/>
      <c r="C118" s="213"/>
      <c r="D118" s="213"/>
      <c r="E118" s="213"/>
      <c r="F118" s="213"/>
      <c r="G118" s="213"/>
      <c r="H118" s="213"/>
      <c r="I118" s="213"/>
      <c r="J118" s="213"/>
      <c r="K118" s="213"/>
      <c r="L118" s="213"/>
      <c r="M118" s="213"/>
      <c r="N118" s="213"/>
      <c r="O118" s="213"/>
      <c r="P118" s="213"/>
      <c r="Q118" s="213"/>
      <c r="R118" s="213"/>
    </row>
    <row r="119" spans="1:18">
      <c r="A119" s="213"/>
      <c r="B119" s="213"/>
      <c r="C119" s="213"/>
      <c r="D119" s="213"/>
      <c r="E119" s="213"/>
      <c r="F119" s="213"/>
      <c r="G119" s="213"/>
      <c r="H119" s="213"/>
      <c r="I119" s="213"/>
      <c r="J119" s="213"/>
      <c r="K119" s="213"/>
      <c r="L119" s="213"/>
      <c r="M119" s="213"/>
      <c r="N119" s="213"/>
      <c r="O119" s="213"/>
      <c r="P119" s="213"/>
      <c r="Q119" s="213"/>
      <c r="R119" s="213"/>
    </row>
    <row r="120" spans="1:18">
      <c r="A120" s="213"/>
      <c r="B120" s="213"/>
      <c r="C120" s="213"/>
      <c r="D120" s="213"/>
      <c r="E120" s="213"/>
      <c r="F120" s="213"/>
      <c r="G120" s="213"/>
      <c r="H120" s="213"/>
      <c r="I120" s="213"/>
      <c r="J120" s="213"/>
      <c r="K120" s="213"/>
      <c r="L120" s="213"/>
      <c r="M120" s="213"/>
      <c r="N120" s="213"/>
      <c r="O120" s="213"/>
      <c r="P120" s="213"/>
      <c r="Q120" s="213"/>
      <c r="R120" s="213"/>
    </row>
    <row r="121" spans="1:18">
      <c r="A121" s="213"/>
      <c r="B121" s="213"/>
      <c r="C121" s="213"/>
      <c r="D121" s="213"/>
      <c r="E121" s="213"/>
      <c r="F121" s="213"/>
      <c r="G121" s="213"/>
      <c r="H121" s="213"/>
      <c r="I121" s="213"/>
      <c r="J121" s="213"/>
      <c r="K121" s="213"/>
      <c r="L121" s="213"/>
      <c r="M121" s="213"/>
      <c r="N121" s="213"/>
      <c r="O121" s="213"/>
      <c r="P121" s="213"/>
      <c r="Q121" s="213"/>
      <c r="R121" s="213"/>
    </row>
    <row r="122" spans="1:18">
      <c r="A122" s="213"/>
      <c r="B122" s="213"/>
      <c r="C122" s="213"/>
      <c r="D122" s="213"/>
      <c r="E122" s="213"/>
      <c r="F122" s="213"/>
      <c r="G122" s="213"/>
      <c r="H122" s="213"/>
      <c r="I122" s="213"/>
      <c r="J122" s="213"/>
      <c r="K122" s="213"/>
      <c r="L122" s="213"/>
      <c r="M122" s="213"/>
      <c r="N122" s="213"/>
      <c r="O122" s="213"/>
      <c r="P122" s="213"/>
      <c r="Q122" s="213"/>
      <c r="R122" s="213"/>
    </row>
    <row r="123" spans="1:18">
      <c r="A123" s="213"/>
      <c r="B123" s="213"/>
      <c r="C123" s="213"/>
      <c r="D123" s="213"/>
      <c r="E123" s="213"/>
      <c r="F123" s="213"/>
      <c r="G123" s="213"/>
      <c r="H123" s="213"/>
      <c r="I123" s="213"/>
      <c r="J123" s="213"/>
      <c r="K123" s="213"/>
      <c r="L123" s="213"/>
      <c r="M123" s="213"/>
      <c r="N123" s="213"/>
      <c r="O123" s="213"/>
      <c r="P123" s="213"/>
      <c r="Q123" s="213"/>
      <c r="R123" s="213"/>
    </row>
    <row r="124" spans="1:18">
      <c r="A124" s="213"/>
      <c r="B124" s="213"/>
      <c r="C124" s="213"/>
      <c r="D124" s="213"/>
      <c r="E124" s="213"/>
      <c r="F124" s="213"/>
      <c r="G124" s="213"/>
      <c r="H124" s="213"/>
      <c r="I124" s="213"/>
      <c r="J124" s="213"/>
      <c r="K124" s="213"/>
      <c r="L124" s="213"/>
      <c r="M124" s="213"/>
      <c r="N124" s="213"/>
      <c r="O124" s="213"/>
      <c r="P124" s="213"/>
      <c r="Q124" s="213"/>
      <c r="R124" s="213"/>
    </row>
    <row r="125" spans="1:18">
      <c r="A125" s="213"/>
      <c r="B125" s="213"/>
      <c r="C125" s="213"/>
      <c r="D125" s="213"/>
      <c r="E125" s="213"/>
      <c r="F125" s="213"/>
      <c r="G125" s="213"/>
      <c r="H125" s="213"/>
      <c r="I125" s="213"/>
      <c r="J125" s="213"/>
      <c r="K125" s="213"/>
      <c r="L125" s="213"/>
      <c r="M125" s="213"/>
      <c r="N125" s="213"/>
      <c r="O125" s="213"/>
      <c r="P125" s="213"/>
      <c r="Q125" s="213"/>
      <c r="R125" s="213"/>
    </row>
    <row r="126" spans="1:18">
      <c r="A126" s="213"/>
      <c r="B126" s="213"/>
      <c r="C126" s="213"/>
      <c r="D126" s="213"/>
      <c r="E126" s="213"/>
      <c r="F126" s="213"/>
      <c r="G126" s="213"/>
      <c r="H126" s="213"/>
      <c r="I126" s="213"/>
      <c r="J126" s="213"/>
      <c r="K126" s="213"/>
      <c r="L126" s="213"/>
      <c r="M126" s="213"/>
      <c r="N126" s="213"/>
      <c r="O126" s="213"/>
      <c r="P126" s="213"/>
      <c r="Q126" s="213"/>
      <c r="R126" s="213"/>
    </row>
    <row r="127" spans="1:18">
      <c r="A127" s="213"/>
      <c r="B127" s="213"/>
      <c r="C127" s="213"/>
      <c r="D127" s="213"/>
      <c r="E127" s="213"/>
      <c r="F127" s="213"/>
      <c r="G127" s="213"/>
      <c r="H127" s="213"/>
      <c r="I127" s="213"/>
      <c r="J127" s="213"/>
      <c r="K127" s="213"/>
      <c r="L127" s="213"/>
      <c r="M127" s="213"/>
      <c r="N127" s="213"/>
      <c r="O127" s="213"/>
      <c r="P127" s="213"/>
      <c r="Q127" s="213"/>
      <c r="R127" s="213"/>
    </row>
    <row r="128" spans="1:18">
      <c r="A128" s="213"/>
      <c r="B128" s="213"/>
      <c r="C128" s="213"/>
      <c r="D128" s="213"/>
      <c r="E128" s="213"/>
      <c r="F128" s="213"/>
      <c r="G128" s="213"/>
      <c r="H128" s="213"/>
      <c r="I128" s="213"/>
      <c r="J128" s="213"/>
      <c r="K128" s="213"/>
      <c r="L128" s="213"/>
      <c r="M128" s="213"/>
      <c r="N128" s="213"/>
      <c r="O128" s="213"/>
      <c r="P128" s="213"/>
      <c r="Q128" s="213"/>
      <c r="R128" s="213"/>
    </row>
    <row r="129" spans="1:18">
      <c r="A129" s="213"/>
      <c r="B129" s="213"/>
      <c r="C129" s="213"/>
      <c r="D129" s="213"/>
      <c r="E129" s="213"/>
      <c r="F129" s="213"/>
      <c r="G129" s="213"/>
      <c r="H129" s="213"/>
      <c r="I129" s="213"/>
      <c r="J129" s="213"/>
      <c r="K129" s="213"/>
      <c r="L129" s="213"/>
      <c r="M129" s="213"/>
      <c r="N129" s="213"/>
      <c r="O129" s="213"/>
      <c r="P129" s="213"/>
      <c r="Q129" s="213"/>
      <c r="R129" s="213"/>
    </row>
    <row r="130" spans="1:18">
      <c r="A130" s="213"/>
      <c r="B130" s="213"/>
      <c r="C130" s="213"/>
      <c r="D130" s="213"/>
      <c r="E130" s="213"/>
      <c r="F130" s="213"/>
      <c r="G130" s="213"/>
      <c r="H130" s="213"/>
      <c r="I130" s="213"/>
      <c r="J130" s="213"/>
      <c r="K130" s="213"/>
      <c r="L130" s="213"/>
      <c r="M130" s="213"/>
      <c r="N130" s="213"/>
      <c r="O130" s="213"/>
      <c r="P130" s="213"/>
      <c r="Q130" s="213"/>
      <c r="R130" s="213"/>
    </row>
    <row r="131" spans="1:18">
      <c r="A131" s="213"/>
      <c r="B131" s="213"/>
      <c r="C131" s="213"/>
      <c r="D131" s="213"/>
      <c r="E131" s="213"/>
      <c r="F131" s="213"/>
      <c r="G131" s="213"/>
      <c r="H131" s="213"/>
      <c r="I131" s="213"/>
      <c r="J131" s="213"/>
      <c r="K131" s="213"/>
      <c r="L131" s="213"/>
      <c r="M131" s="213"/>
      <c r="N131" s="213"/>
      <c r="O131" s="213"/>
      <c r="P131" s="213"/>
      <c r="Q131" s="213"/>
      <c r="R131" s="213"/>
    </row>
    <row r="132" spans="1:18">
      <c r="A132" s="213"/>
      <c r="B132" s="213"/>
      <c r="C132" s="213"/>
      <c r="D132" s="213"/>
      <c r="E132" s="213"/>
      <c r="F132" s="213"/>
      <c r="G132" s="213"/>
      <c r="H132" s="213"/>
      <c r="I132" s="213"/>
      <c r="J132" s="213"/>
      <c r="K132" s="213"/>
      <c r="L132" s="213"/>
      <c r="M132" s="213"/>
      <c r="N132" s="213"/>
      <c r="O132" s="213"/>
      <c r="P132" s="213"/>
      <c r="Q132" s="213"/>
      <c r="R132" s="213"/>
    </row>
    <row r="133" spans="1:18">
      <c r="A133" s="213"/>
      <c r="B133" s="213"/>
      <c r="C133" s="213"/>
      <c r="D133" s="213"/>
      <c r="E133" s="213"/>
      <c r="F133" s="213"/>
      <c r="G133" s="213"/>
      <c r="H133" s="213"/>
      <c r="I133" s="213"/>
      <c r="J133" s="213"/>
      <c r="K133" s="213"/>
      <c r="L133" s="213"/>
      <c r="M133" s="213"/>
      <c r="N133" s="213"/>
      <c r="O133" s="213"/>
      <c r="P133" s="213"/>
      <c r="Q133" s="213"/>
      <c r="R133" s="213"/>
    </row>
    <row r="134" spans="1:18">
      <c r="A134" s="213"/>
      <c r="B134" s="213"/>
      <c r="C134" s="213"/>
      <c r="D134" s="213"/>
      <c r="E134" s="213"/>
      <c r="F134" s="213"/>
      <c r="G134" s="213"/>
      <c r="H134" s="213"/>
      <c r="I134" s="213"/>
      <c r="J134" s="213"/>
      <c r="K134" s="213"/>
      <c r="L134" s="213"/>
      <c r="M134" s="213"/>
      <c r="N134" s="213"/>
      <c r="O134" s="213"/>
      <c r="P134" s="213"/>
      <c r="Q134" s="213"/>
      <c r="R134" s="213"/>
    </row>
    <row r="135" spans="1:18">
      <c r="A135" s="213"/>
      <c r="B135" s="213"/>
      <c r="C135" s="213"/>
      <c r="D135" s="213"/>
      <c r="E135" s="213"/>
      <c r="F135" s="213"/>
      <c r="G135" s="213"/>
      <c r="H135" s="213"/>
      <c r="I135" s="213"/>
      <c r="J135" s="213"/>
      <c r="K135" s="213"/>
      <c r="L135" s="213"/>
      <c r="M135" s="213"/>
      <c r="N135" s="213"/>
      <c r="O135" s="213"/>
      <c r="P135" s="213"/>
      <c r="Q135" s="213"/>
      <c r="R135" s="213"/>
    </row>
    <row r="136" spans="1:18">
      <c r="A136" s="213"/>
      <c r="B136" s="213"/>
      <c r="C136" s="213"/>
      <c r="D136" s="213"/>
      <c r="E136" s="213"/>
      <c r="F136" s="213"/>
      <c r="G136" s="213"/>
      <c r="H136" s="213"/>
      <c r="I136" s="213"/>
      <c r="J136" s="213"/>
      <c r="K136" s="213"/>
      <c r="L136" s="213"/>
      <c r="M136" s="213"/>
      <c r="N136" s="213"/>
      <c r="O136" s="213"/>
      <c r="P136" s="213"/>
      <c r="Q136" s="213"/>
      <c r="R136" s="213"/>
    </row>
    <row r="137" spans="1:18">
      <c r="A137" s="213"/>
      <c r="B137" s="213"/>
      <c r="C137" s="213"/>
      <c r="D137" s="213"/>
      <c r="E137" s="213"/>
      <c r="F137" s="213"/>
      <c r="G137" s="213"/>
      <c r="H137" s="213"/>
      <c r="I137" s="213"/>
      <c r="J137" s="213"/>
      <c r="K137" s="213"/>
      <c r="L137" s="213"/>
      <c r="M137" s="213"/>
      <c r="N137" s="213"/>
      <c r="O137" s="213"/>
      <c r="P137" s="213"/>
      <c r="Q137" s="213"/>
      <c r="R137" s="213"/>
    </row>
    <row r="138" spans="1:18">
      <c r="A138" s="213"/>
      <c r="B138" s="213"/>
      <c r="C138" s="213"/>
      <c r="D138" s="213"/>
      <c r="E138" s="213"/>
      <c r="F138" s="213"/>
      <c r="G138" s="213"/>
      <c r="H138" s="213"/>
      <c r="I138" s="213"/>
      <c r="J138" s="213"/>
      <c r="K138" s="213"/>
      <c r="L138" s="213"/>
      <c r="M138" s="213"/>
      <c r="N138" s="213"/>
      <c r="O138" s="213"/>
      <c r="P138" s="213"/>
      <c r="Q138" s="213"/>
      <c r="R138" s="213"/>
    </row>
    <row r="139" spans="1:18">
      <c r="A139" s="213"/>
      <c r="B139" s="213"/>
      <c r="C139" s="213"/>
      <c r="D139" s="213"/>
      <c r="E139" s="213"/>
      <c r="F139" s="213"/>
      <c r="G139" s="213"/>
      <c r="H139" s="213"/>
      <c r="I139" s="213"/>
      <c r="J139" s="213"/>
      <c r="K139" s="213"/>
      <c r="L139" s="213"/>
      <c r="M139" s="213"/>
      <c r="N139" s="213"/>
      <c r="O139" s="213"/>
      <c r="P139" s="213"/>
      <c r="Q139" s="213"/>
      <c r="R139" s="213"/>
    </row>
    <row r="140" spans="1:18">
      <c r="A140" s="213"/>
      <c r="B140" s="213"/>
      <c r="C140" s="213"/>
      <c r="D140" s="213"/>
      <c r="E140" s="213"/>
      <c r="F140" s="213"/>
      <c r="G140" s="213"/>
      <c r="H140" s="213"/>
      <c r="I140" s="213"/>
      <c r="J140" s="213"/>
      <c r="K140" s="213"/>
      <c r="L140" s="213"/>
      <c r="M140" s="213"/>
      <c r="N140" s="213"/>
      <c r="O140" s="213"/>
      <c r="P140" s="213"/>
      <c r="Q140" s="213"/>
      <c r="R140" s="213"/>
    </row>
    <row r="141" spans="1:18">
      <c r="A141" s="213"/>
      <c r="B141" s="213"/>
      <c r="C141" s="213"/>
      <c r="D141" s="213"/>
      <c r="E141" s="213"/>
      <c r="F141" s="213"/>
      <c r="G141" s="213"/>
      <c r="H141" s="213"/>
      <c r="I141" s="213"/>
      <c r="J141" s="213"/>
      <c r="K141" s="213"/>
      <c r="L141" s="213"/>
      <c r="M141" s="213"/>
      <c r="N141" s="213"/>
      <c r="O141" s="213"/>
      <c r="P141" s="213"/>
      <c r="Q141" s="213"/>
      <c r="R141" s="213"/>
    </row>
    <row r="142" spans="1:18">
      <c r="A142" s="213"/>
      <c r="B142" s="213"/>
      <c r="C142" s="213"/>
      <c r="D142" s="213"/>
      <c r="E142" s="213"/>
      <c r="F142" s="213"/>
      <c r="G142" s="213"/>
      <c r="H142" s="213"/>
      <c r="I142" s="213"/>
      <c r="J142" s="213"/>
      <c r="K142" s="213"/>
      <c r="L142" s="213"/>
      <c r="M142" s="213"/>
      <c r="N142" s="213"/>
      <c r="O142" s="213"/>
      <c r="P142" s="213"/>
      <c r="Q142" s="213"/>
      <c r="R142" s="213"/>
    </row>
    <row r="143" spans="1:18">
      <c r="A143" s="213"/>
      <c r="B143" s="213"/>
      <c r="C143" s="213"/>
      <c r="D143" s="213"/>
      <c r="E143" s="213"/>
      <c r="F143" s="213"/>
      <c r="G143" s="213"/>
      <c r="H143" s="213"/>
      <c r="I143" s="213"/>
      <c r="J143" s="213"/>
      <c r="K143" s="213"/>
      <c r="L143" s="213"/>
      <c r="M143" s="213"/>
      <c r="N143" s="213"/>
      <c r="O143" s="213"/>
      <c r="P143" s="213"/>
      <c r="Q143" s="213"/>
      <c r="R143" s="213"/>
    </row>
    <row r="144" spans="1:18">
      <c r="A144" s="213"/>
      <c r="B144" s="213"/>
      <c r="C144" s="213"/>
      <c r="D144" s="213"/>
      <c r="E144" s="213"/>
      <c r="F144" s="213"/>
      <c r="G144" s="213"/>
      <c r="H144" s="213"/>
      <c r="I144" s="213"/>
      <c r="J144" s="213"/>
      <c r="K144" s="213"/>
      <c r="L144" s="213"/>
      <c r="M144" s="213"/>
      <c r="N144" s="213"/>
      <c r="O144" s="213"/>
      <c r="P144" s="213"/>
      <c r="Q144" s="213"/>
      <c r="R144" s="213"/>
    </row>
    <row r="145" spans="1:18">
      <c r="A145" s="213"/>
      <c r="B145" s="213"/>
      <c r="C145" s="213"/>
      <c r="D145" s="213"/>
      <c r="E145" s="213"/>
      <c r="F145" s="213"/>
      <c r="G145" s="213"/>
      <c r="H145" s="213"/>
      <c r="I145" s="213"/>
      <c r="J145" s="213"/>
      <c r="K145" s="213"/>
      <c r="L145" s="213"/>
      <c r="M145" s="213"/>
      <c r="N145" s="213"/>
      <c r="O145" s="213"/>
      <c r="P145" s="213"/>
      <c r="Q145" s="213"/>
      <c r="R145" s="213"/>
    </row>
    <row r="146" spans="1:18">
      <c r="A146" s="213"/>
      <c r="B146" s="213"/>
      <c r="C146" s="213"/>
      <c r="D146" s="213"/>
      <c r="E146" s="213"/>
      <c r="F146" s="213"/>
      <c r="G146" s="213"/>
      <c r="H146" s="213"/>
      <c r="I146" s="213"/>
      <c r="J146" s="213"/>
      <c r="K146" s="213"/>
      <c r="L146" s="213"/>
      <c r="M146" s="213"/>
      <c r="N146" s="213"/>
      <c r="O146" s="213"/>
      <c r="P146" s="213"/>
      <c r="Q146" s="213"/>
      <c r="R146" s="213"/>
    </row>
    <row r="147" spans="1:18">
      <c r="A147" s="213"/>
      <c r="B147" s="213"/>
      <c r="C147" s="213"/>
      <c r="D147" s="213"/>
      <c r="E147" s="213"/>
      <c r="F147" s="213"/>
      <c r="G147" s="213"/>
      <c r="H147" s="213"/>
      <c r="I147" s="213"/>
      <c r="J147" s="213"/>
      <c r="K147" s="213"/>
      <c r="L147" s="213"/>
      <c r="M147" s="213"/>
      <c r="N147" s="213"/>
      <c r="O147" s="213"/>
      <c r="P147" s="213"/>
      <c r="Q147" s="213"/>
      <c r="R147" s="213"/>
    </row>
    <row r="148" spans="1:18">
      <c r="A148" s="213"/>
      <c r="B148" s="213"/>
      <c r="C148" s="213"/>
      <c r="D148" s="213"/>
      <c r="E148" s="213"/>
      <c r="F148" s="213"/>
      <c r="G148" s="213"/>
      <c r="H148" s="213"/>
      <c r="I148" s="213"/>
      <c r="J148" s="213"/>
      <c r="K148" s="213"/>
      <c r="L148" s="213"/>
      <c r="M148" s="213"/>
      <c r="N148" s="213"/>
      <c r="O148" s="213"/>
      <c r="P148" s="213"/>
      <c r="Q148" s="213"/>
      <c r="R148" s="213"/>
    </row>
    <row r="149" spans="1:18">
      <c r="A149" s="213"/>
      <c r="B149" s="213"/>
      <c r="C149" s="213"/>
      <c r="D149" s="213"/>
      <c r="E149" s="213"/>
      <c r="F149" s="213"/>
      <c r="G149" s="213"/>
      <c r="H149" s="213"/>
      <c r="I149" s="213"/>
      <c r="J149" s="213"/>
      <c r="K149" s="213"/>
      <c r="L149" s="213"/>
      <c r="M149" s="213"/>
      <c r="N149" s="213"/>
      <c r="O149" s="213"/>
      <c r="P149" s="213"/>
      <c r="Q149" s="213"/>
      <c r="R149" s="213"/>
    </row>
    <row r="150" spans="1:18">
      <c r="A150" s="213"/>
      <c r="B150" s="213"/>
      <c r="C150" s="213"/>
      <c r="D150" s="213"/>
      <c r="E150" s="213"/>
      <c r="F150" s="213"/>
      <c r="G150" s="213"/>
      <c r="H150" s="213"/>
      <c r="I150" s="213"/>
      <c r="J150" s="213"/>
      <c r="K150" s="213"/>
      <c r="L150" s="213"/>
      <c r="M150" s="213"/>
      <c r="N150" s="213"/>
      <c r="O150" s="213"/>
      <c r="P150" s="213"/>
      <c r="Q150" s="213"/>
      <c r="R150" s="213"/>
    </row>
    <row r="151" spans="1:18">
      <c r="A151" s="213"/>
      <c r="B151" s="213"/>
      <c r="C151" s="213"/>
      <c r="D151" s="213"/>
      <c r="E151" s="213"/>
      <c r="F151" s="213"/>
      <c r="G151" s="213"/>
      <c r="H151" s="213"/>
      <c r="I151" s="213"/>
      <c r="J151" s="213"/>
      <c r="K151" s="213"/>
      <c r="L151" s="213"/>
      <c r="M151" s="213"/>
      <c r="N151" s="213"/>
      <c r="O151" s="213"/>
      <c r="P151" s="213"/>
      <c r="Q151" s="213"/>
      <c r="R151" s="213"/>
    </row>
    <row r="152" spans="1:18">
      <c r="A152" s="213"/>
      <c r="B152" s="213"/>
      <c r="C152" s="213"/>
      <c r="D152" s="213"/>
      <c r="E152" s="213"/>
      <c r="F152" s="213"/>
      <c r="G152" s="213"/>
      <c r="H152" s="213"/>
      <c r="I152" s="213"/>
      <c r="J152" s="213"/>
      <c r="K152" s="213"/>
      <c r="L152" s="213"/>
      <c r="M152" s="213"/>
      <c r="N152" s="213"/>
      <c r="O152" s="213"/>
      <c r="P152" s="213"/>
      <c r="Q152" s="213"/>
      <c r="R152" s="213"/>
    </row>
    <row r="153" spans="1:18">
      <c r="A153" s="213"/>
      <c r="B153" s="213"/>
      <c r="C153" s="213"/>
      <c r="D153" s="213"/>
      <c r="E153" s="213"/>
      <c r="F153" s="213"/>
      <c r="G153" s="213"/>
      <c r="H153" s="213"/>
      <c r="I153" s="213"/>
      <c r="J153" s="213"/>
      <c r="K153" s="213"/>
      <c r="L153" s="213"/>
      <c r="M153" s="213"/>
      <c r="N153" s="213"/>
      <c r="O153" s="213"/>
      <c r="P153" s="213"/>
      <c r="Q153" s="213"/>
      <c r="R153" s="213"/>
    </row>
    <row r="154" spans="1:18">
      <c r="A154" s="213"/>
      <c r="B154" s="213"/>
      <c r="C154" s="213"/>
      <c r="D154" s="213"/>
      <c r="E154" s="213"/>
      <c r="F154" s="213"/>
      <c r="G154" s="213"/>
      <c r="H154" s="213"/>
      <c r="I154" s="213"/>
      <c r="J154" s="213"/>
      <c r="K154" s="213"/>
      <c r="L154" s="213"/>
      <c r="M154" s="213"/>
      <c r="N154" s="213"/>
      <c r="O154" s="213"/>
      <c r="P154" s="213"/>
      <c r="Q154" s="213"/>
      <c r="R154" s="213"/>
    </row>
    <row r="155" spans="1:18">
      <c r="A155" s="213"/>
      <c r="B155" s="213"/>
      <c r="C155" s="213"/>
      <c r="D155" s="213"/>
      <c r="E155" s="213"/>
      <c r="F155" s="213"/>
      <c r="G155" s="213"/>
      <c r="H155" s="213"/>
      <c r="I155" s="213"/>
      <c r="J155" s="213"/>
      <c r="K155" s="213"/>
      <c r="L155" s="213"/>
      <c r="M155" s="213"/>
      <c r="N155" s="213"/>
      <c r="O155" s="213"/>
      <c r="P155" s="213"/>
      <c r="Q155" s="213"/>
      <c r="R155" s="213"/>
    </row>
    <row r="156" spans="1:18">
      <c r="A156" s="213"/>
      <c r="B156" s="213"/>
      <c r="C156" s="213"/>
      <c r="D156" s="213"/>
      <c r="E156" s="213"/>
      <c r="F156" s="213"/>
      <c r="G156" s="213"/>
      <c r="H156" s="213"/>
      <c r="I156" s="213"/>
      <c r="J156" s="213"/>
      <c r="K156" s="213"/>
      <c r="L156" s="213"/>
      <c r="M156" s="213"/>
      <c r="N156" s="213"/>
      <c r="O156" s="213"/>
      <c r="P156" s="213"/>
      <c r="Q156" s="213"/>
      <c r="R156" s="213"/>
    </row>
    <row r="157" spans="1:18">
      <c r="A157" s="213"/>
      <c r="B157" s="213"/>
      <c r="C157" s="213"/>
      <c r="D157" s="213"/>
      <c r="E157" s="213"/>
      <c r="F157" s="213"/>
      <c r="G157" s="213"/>
      <c r="H157" s="213"/>
      <c r="I157" s="213"/>
      <c r="J157" s="213"/>
      <c r="K157" s="213"/>
      <c r="L157" s="213"/>
      <c r="M157" s="213"/>
      <c r="N157" s="213"/>
      <c r="O157" s="213"/>
      <c r="P157" s="213"/>
      <c r="Q157" s="213"/>
      <c r="R157" s="213"/>
    </row>
    <row r="158" spans="1:18">
      <c r="A158" s="213"/>
      <c r="B158" s="213"/>
      <c r="C158" s="213"/>
      <c r="D158" s="213"/>
      <c r="E158" s="213"/>
      <c r="F158" s="213"/>
      <c r="G158" s="213"/>
      <c r="H158" s="213"/>
      <c r="I158" s="213"/>
      <c r="J158" s="213"/>
      <c r="K158" s="213"/>
      <c r="L158" s="213"/>
      <c r="M158" s="213"/>
      <c r="N158" s="213"/>
      <c r="O158" s="213"/>
      <c r="P158" s="213"/>
      <c r="Q158" s="213"/>
      <c r="R158" s="213"/>
    </row>
    <row r="159" spans="1:18">
      <c r="A159" s="213"/>
      <c r="B159" s="213"/>
      <c r="C159" s="213"/>
      <c r="D159" s="213"/>
      <c r="E159" s="213"/>
      <c r="F159" s="213"/>
      <c r="G159" s="213"/>
      <c r="H159" s="213"/>
      <c r="I159" s="213"/>
      <c r="J159" s="213"/>
      <c r="K159" s="213"/>
      <c r="L159" s="213"/>
      <c r="M159" s="213"/>
      <c r="N159" s="213"/>
      <c r="O159" s="213"/>
      <c r="P159" s="213"/>
      <c r="Q159" s="213"/>
      <c r="R159" s="213"/>
    </row>
    <row r="160" spans="1:18">
      <c r="A160" s="213"/>
      <c r="B160" s="213"/>
      <c r="C160" s="213"/>
      <c r="D160" s="213"/>
      <c r="E160" s="213"/>
      <c r="F160" s="213"/>
      <c r="G160" s="213"/>
      <c r="H160" s="213"/>
      <c r="I160" s="213"/>
      <c r="J160" s="213"/>
      <c r="K160" s="213"/>
      <c r="L160" s="213"/>
      <c r="M160" s="213"/>
      <c r="N160" s="213"/>
      <c r="O160" s="213"/>
      <c r="P160" s="213"/>
      <c r="Q160" s="213"/>
      <c r="R160" s="213"/>
    </row>
    <row r="161" spans="1:18">
      <c r="A161" s="213"/>
      <c r="B161" s="213"/>
      <c r="C161" s="213"/>
      <c r="D161" s="213"/>
      <c r="E161" s="213"/>
      <c r="F161" s="213"/>
      <c r="G161" s="213"/>
      <c r="H161" s="213"/>
      <c r="I161" s="213"/>
      <c r="J161" s="213"/>
      <c r="K161" s="213"/>
      <c r="L161" s="213"/>
      <c r="M161" s="213"/>
      <c r="N161" s="213"/>
      <c r="O161" s="213"/>
      <c r="P161" s="213"/>
      <c r="Q161" s="213"/>
      <c r="R161" s="213"/>
    </row>
    <row r="162" spans="1:18">
      <c r="A162" s="213"/>
      <c r="B162" s="213"/>
      <c r="C162" s="213"/>
      <c r="D162" s="213"/>
      <c r="E162" s="213"/>
      <c r="F162" s="213"/>
      <c r="G162" s="213"/>
      <c r="H162" s="213"/>
      <c r="I162" s="213"/>
      <c r="J162" s="213"/>
      <c r="K162" s="213"/>
      <c r="L162" s="213"/>
      <c r="M162" s="213"/>
      <c r="N162" s="213"/>
      <c r="O162" s="213"/>
      <c r="P162" s="213"/>
      <c r="Q162" s="213"/>
      <c r="R162" s="213"/>
    </row>
    <row r="163" spans="1:18">
      <c r="A163" s="213"/>
      <c r="B163" s="213"/>
      <c r="C163" s="213"/>
      <c r="D163" s="213"/>
      <c r="E163" s="213"/>
      <c r="F163" s="213"/>
      <c r="G163" s="213"/>
      <c r="H163" s="213"/>
      <c r="I163" s="213"/>
      <c r="J163" s="213"/>
      <c r="K163" s="213"/>
      <c r="L163" s="213"/>
      <c r="M163" s="213"/>
      <c r="N163" s="213"/>
      <c r="O163" s="213"/>
      <c r="P163" s="213"/>
      <c r="Q163" s="213"/>
      <c r="R163" s="213"/>
    </row>
    <row r="164" spans="1:18">
      <c r="A164" s="213"/>
      <c r="B164" s="213"/>
      <c r="C164" s="213"/>
      <c r="D164" s="213"/>
      <c r="E164" s="213"/>
      <c r="F164" s="213"/>
      <c r="G164" s="213"/>
      <c r="H164" s="213"/>
      <c r="I164" s="213"/>
      <c r="J164" s="213"/>
      <c r="K164" s="213"/>
      <c r="L164" s="213"/>
      <c r="M164" s="213"/>
      <c r="N164" s="213"/>
      <c r="O164" s="213"/>
      <c r="P164" s="213"/>
      <c r="Q164" s="213"/>
      <c r="R164" s="213"/>
    </row>
    <row r="165" spans="1:18">
      <c r="A165" s="213"/>
      <c r="B165" s="213"/>
      <c r="C165" s="213"/>
      <c r="D165" s="213"/>
      <c r="E165" s="213"/>
      <c r="F165" s="213"/>
      <c r="G165" s="213"/>
      <c r="H165" s="213"/>
      <c r="I165" s="213"/>
      <c r="J165" s="213"/>
      <c r="K165" s="213"/>
      <c r="L165" s="213"/>
      <c r="M165" s="213"/>
      <c r="N165" s="213"/>
      <c r="O165" s="213"/>
      <c r="P165" s="213"/>
      <c r="Q165" s="213"/>
      <c r="R165" s="213"/>
    </row>
    <row r="166" spans="1:18">
      <c r="A166" s="213"/>
      <c r="B166" s="213"/>
      <c r="C166" s="213"/>
      <c r="D166" s="213"/>
      <c r="E166" s="213"/>
      <c r="F166" s="213"/>
      <c r="G166" s="213"/>
      <c r="H166" s="213"/>
      <c r="I166" s="213"/>
      <c r="J166" s="213"/>
      <c r="K166" s="213"/>
      <c r="L166" s="213"/>
      <c r="M166" s="213"/>
      <c r="N166" s="213"/>
      <c r="O166" s="213"/>
      <c r="P166" s="213"/>
      <c r="Q166" s="213"/>
      <c r="R166" s="213"/>
    </row>
    <row r="167" spans="1:18">
      <c r="A167" s="213"/>
      <c r="B167" s="213"/>
      <c r="C167" s="213"/>
      <c r="D167" s="213"/>
      <c r="E167" s="213"/>
      <c r="F167" s="213"/>
      <c r="G167" s="213"/>
      <c r="H167" s="213"/>
      <c r="I167" s="213"/>
      <c r="J167" s="213"/>
      <c r="K167" s="213"/>
      <c r="L167" s="213"/>
      <c r="M167" s="213"/>
      <c r="N167" s="213"/>
      <c r="O167" s="213"/>
      <c r="P167" s="213"/>
      <c r="Q167" s="213"/>
      <c r="R167" s="213"/>
    </row>
    <row r="168" spans="1:18">
      <c r="A168" s="213"/>
      <c r="B168" s="213"/>
      <c r="C168" s="213"/>
      <c r="D168" s="213"/>
      <c r="E168" s="213"/>
      <c r="F168" s="213"/>
      <c r="G168" s="213"/>
      <c r="H168" s="213"/>
      <c r="I168" s="213"/>
      <c r="J168" s="213"/>
      <c r="K168" s="213"/>
      <c r="L168" s="213"/>
      <c r="M168" s="213"/>
      <c r="N168" s="213"/>
      <c r="O168" s="213"/>
      <c r="P168" s="213"/>
      <c r="Q168" s="213"/>
      <c r="R168" s="213"/>
    </row>
    <row r="169" spans="1:18">
      <c r="A169" s="213"/>
      <c r="B169" s="213"/>
      <c r="C169" s="213"/>
      <c r="D169" s="213"/>
      <c r="E169" s="213"/>
      <c r="F169" s="213"/>
      <c r="G169" s="213"/>
      <c r="H169" s="213"/>
      <c r="I169" s="213"/>
      <c r="J169" s="213"/>
      <c r="K169" s="213"/>
      <c r="L169" s="213"/>
      <c r="M169" s="213"/>
      <c r="N169" s="213"/>
      <c r="O169" s="213"/>
      <c r="P169" s="213"/>
      <c r="Q169" s="213"/>
      <c r="R169" s="213"/>
    </row>
    <row r="170" spans="1:18">
      <c r="A170" s="213"/>
      <c r="B170" s="213"/>
      <c r="C170" s="213"/>
      <c r="D170" s="213"/>
      <c r="E170" s="213"/>
      <c r="F170" s="213"/>
      <c r="G170" s="213"/>
      <c r="H170" s="213"/>
      <c r="I170" s="213"/>
      <c r="J170" s="213"/>
      <c r="K170" s="213"/>
      <c r="L170" s="213"/>
      <c r="M170" s="213"/>
      <c r="N170" s="213"/>
      <c r="O170" s="213"/>
      <c r="P170" s="213"/>
      <c r="Q170" s="213"/>
      <c r="R170" s="213"/>
    </row>
    <row r="171" spans="1:18">
      <c r="A171" s="213"/>
      <c r="B171" s="213"/>
      <c r="C171" s="213"/>
      <c r="D171" s="213"/>
      <c r="E171" s="213"/>
      <c r="F171" s="213"/>
      <c r="G171" s="213"/>
      <c r="H171" s="213"/>
      <c r="I171" s="213"/>
      <c r="J171" s="213"/>
      <c r="K171" s="213"/>
      <c r="L171" s="213"/>
      <c r="M171" s="213"/>
      <c r="N171" s="213"/>
      <c r="O171" s="213"/>
      <c r="P171" s="213"/>
      <c r="Q171" s="213"/>
      <c r="R171" s="213"/>
    </row>
  </sheetData>
  <mergeCells count="3">
    <mergeCell ref="A53:F53"/>
    <mergeCell ref="A5:D5"/>
    <mergeCell ref="A91:F91"/>
  </mergeCells>
  <phoneticPr fontId="106"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FPGA固定支持端口形态">
    <tabColor rgb="FFFFFFFF"/>
  </sheetPr>
  <dimension ref="A1:R50"/>
  <sheetViews>
    <sheetView workbookViewId="0">
      <selection sqref="A1:E1"/>
    </sheetView>
  </sheetViews>
  <sheetFormatPr defaultRowHeight="14"/>
  <cols>
    <col min="1" max="1" width="18.453125" style="35" customWidth="1"/>
    <col min="2" max="2" width="14.54296875" style="35" customWidth="1"/>
    <col min="3" max="3" width="22" style="35" customWidth="1"/>
    <col min="4" max="4" width="24.81640625" style="35" customWidth="1"/>
    <col min="5" max="5" width="20" style="35" customWidth="1"/>
    <col min="6" max="6" width="22" style="35" customWidth="1"/>
    <col min="7" max="7" width="38.453125" style="35" customWidth="1"/>
    <col min="8" max="18" width="13.7265625" style="35" customWidth="1"/>
  </cols>
  <sheetData>
    <row r="1" spans="1:8">
      <c r="A1" s="989" t="s">
        <v>109</v>
      </c>
      <c r="B1" s="990"/>
      <c r="C1" s="990"/>
      <c r="D1" s="990"/>
      <c r="E1" s="991"/>
    </row>
    <row r="2" spans="1:8">
      <c r="A2" s="981" t="s">
        <v>110</v>
      </c>
      <c r="B2" s="982"/>
      <c r="C2" s="982"/>
      <c r="D2" s="982"/>
      <c r="E2" s="37"/>
    </row>
    <row r="3" spans="1:8">
      <c r="A3" s="38" t="s">
        <v>111</v>
      </c>
      <c r="B3" s="38" t="s">
        <v>112</v>
      </c>
      <c r="C3" s="38" t="s">
        <v>113</v>
      </c>
      <c r="D3" s="39" t="s">
        <v>114</v>
      </c>
      <c r="E3" s="37"/>
    </row>
    <row r="4" spans="1:8">
      <c r="A4" s="40"/>
      <c r="B4" s="41">
        <v>3</v>
      </c>
      <c r="C4" s="40" t="s">
        <v>115</v>
      </c>
      <c r="D4" s="42" t="s">
        <v>116</v>
      </c>
      <c r="E4" s="43" t="s">
        <v>117</v>
      </c>
    </row>
    <row r="5" spans="1:8">
      <c r="A5" s="40"/>
      <c r="B5" s="41">
        <v>3</v>
      </c>
      <c r="C5" s="40" t="s">
        <v>118</v>
      </c>
      <c r="D5" s="42" t="s">
        <v>119</v>
      </c>
      <c r="E5" s="43" t="s">
        <v>120</v>
      </c>
    </row>
    <row r="6" spans="1:8">
      <c r="A6" s="44" t="s">
        <v>121</v>
      </c>
      <c r="B6" s="45">
        <v>3</v>
      </c>
      <c r="C6" s="44" t="s">
        <v>122</v>
      </c>
      <c r="D6" s="46" t="s">
        <v>116</v>
      </c>
      <c r="E6" s="43" t="s">
        <v>123</v>
      </c>
    </row>
    <row r="7" spans="1:8">
      <c r="A7" s="40"/>
      <c r="B7" s="41">
        <v>3</v>
      </c>
      <c r="C7" s="40" t="s">
        <v>124</v>
      </c>
      <c r="D7" s="42" t="s">
        <v>125</v>
      </c>
      <c r="E7" s="43" t="s">
        <v>126</v>
      </c>
    </row>
    <row r="8" spans="1:8">
      <c r="A8" s="40" t="s">
        <v>127</v>
      </c>
      <c r="B8" s="41">
        <v>3</v>
      </c>
      <c r="C8" s="40" t="s">
        <v>128</v>
      </c>
      <c r="D8" s="42" t="s">
        <v>129</v>
      </c>
      <c r="E8" s="43" t="s">
        <v>130</v>
      </c>
    </row>
    <row r="9" spans="1:8">
      <c r="A9" s="47" t="s">
        <v>131</v>
      </c>
      <c r="B9" s="48">
        <v>3</v>
      </c>
      <c r="C9" s="47" t="s">
        <v>132</v>
      </c>
      <c r="D9" s="49" t="s">
        <v>133</v>
      </c>
      <c r="E9" s="50" t="s">
        <v>134</v>
      </c>
    </row>
    <row r="10" spans="1:8">
      <c r="A10" s="47" t="s">
        <v>135</v>
      </c>
      <c r="B10" s="48">
        <v>3</v>
      </c>
      <c r="C10" s="47" t="s">
        <v>136</v>
      </c>
      <c r="D10" s="49" t="s">
        <v>133</v>
      </c>
      <c r="E10" s="51" t="s">
        <v>137</v>
      </c>
    </row>
    <row r="11" spans="1:8">
      <c r="A11" s="40" t="s">
        <v>138</v>
      </c>
      <c r="B11" s="41">
        <v>3</v>
      </c>
      <c r="C11" s="40" t="s">
        <v>139</v>
      </c>
      <c r="D11" s="42" t="s">
        <v>140</v>
      </c>
      <c r="E11" s="43" t="s">
        <v>141</v>
      </c>
    </row>
    <row r="13" spans="1:8">
      <c r="A13" s="988" t="s">
        <v>142</v>
      </c>
      <c r="B13" s="980"/>
      <c r="C13" s="980"/>
      <c r="D13" s="980"/>
      <c r="E13" s="980"/>
      <c r="F13" s="980"/>
    </row>
    <row r="14" spans="1:8" ht="14.25" customHeight="1">
      <c r="A14" s="52" t="s">
        <v>143</v>
      </c>
    </row>
    <row r="15" spans="1:8">
      <c r="A15" s="53" t="s">
        <v>144</v>
      </c>
      <c r="B15" s="53" t="s">
        <v>145</v>
      </c>
      <c r="C15" s="53" t="s">
        <v>146</v>
      </c>
      <c r="D15" s="53" t="s">
        <v>147</v>
      </c>
      <c r="E15" s="53" t="s">
        <v>148</v>
      </c>
      <c r="F15" s="53" t="s">
        <v>149</v>
      </c>
      <c r="G15" s="54" t="s">
        <v>150</v>
      </c>
      <c r="H15" s="55" t="s">
        <v>151</v>
      </c>
    </row>
    <row r="16" spans="1:8" ht="28">
      <c r="A16" s="53" t="s">
        <v>152</v>
      </c>
      <c r="B16" s="56" t="s">
        <v>153</v>
      </c>
      <c r="C16" s="57" t="s">
        <v>154</v>
      </c>
      <c r="D16" s="56" t="s">
        <v>153</v>
      </c>
      <c r="E16" s="56" t="s">
        <v>153</v>
      </c>
      <c r="F16" s="58" t="s">
        <v>153</v>
      </c>
      <c r="G16" s="59" t="s">
        <v>155</v>
      </c>
      <c r="H16" s="985" t="s">
        <v>156</v>
      </c>
    </row>
    <row r="17" spans="1:9" ht="28">
      <c r="A17" s="53" t="s">
        <v>157</v>
      </c>
      <c r="B17" s="56" t="s">
        <v>153</v>
      </c>
      <c r="C17" s="61">
        <v>16</v>
      </c>
      <c r="D17" s="56" t="s">
        <v>153</v>
      </c>
      <c r="E17" s="56" t="s">
        <v>153</v>
      </c>
      <c r="F17" s="58" t="s">
        <v>153</v>
      </c>
      <c r="G17" s="59" t="s">
        <v>158</v>
      </c>
      <c r="H17" s="986"/>
    </row>
    <row r="18" spans="1:9" ht="28">
      <c r="A18" s="53" t="s">
        <v>159</v>
      </c>
      <c r="B18" s="56" t="s">
        <v>153</v>
      </c>
      <c r="C18" s="61">
        <v>8</v>
      </c>
      <c r="D18" s="61">
        <v>8</v>
      </c>
      <c r="E18" s="62" t="s">
        <v>153</v>
      </c>
      <c r="F18" s="63" t="s">
        <v>153</v>
      </c>
      <c r="G18" s="59" t="s">
        <v>160</v>
      </c>
      <c r="H18" s="986"/>
    </row>
    <row r="19" spans="1:9">
      <c r="A19" s="53" t="s">
        <v>161</v>
      </c>
      <c r="B19" s="56" t="s">
        <v>153</v>
      </c>
      <c r="C19" s="61">
        <v>4</v>
      </c>
      <c r="D19" s="61">
        <v>4</v>
      </c>
      <c r="E19" s="61">
        <v>4</v>
      </c>
      <c r="F19" s="64">
        <v>4</v>
      </c>
      <c r="G19" s="59"/>
      <c r="H19" s="986"/>
    </row>
    <row r="20" spans="1:9">
      <c r="A20" s="53" t="s">
        <v>162</v>
      </c>
      <c r="B20" s="56" t="s">
        <v>153</v>
      </c>
      <c r="C20" s="61">
        <v>8</v>
      </c>
      <c r="D20" s="56" t="s">
        <v>153</v>
      </c>
      <c r="E20" s="61">
        <v>4</v>
      </c>
      <c r="F20" s="64">
        <v>4</v>
      </c>
      <c r="G20" s="37"/>
      <c r="H20" s="986"/>
    </row>
    <row r="21" spans="1:9">
      <c r="A21" s="53" t="s">
        <v>163</v>
      </c>
      <c r="B21" s="56" t="s">
        <v>153</v>
      </c>
      <c r="C21" s="37"/>
      <c r="D21" s="61">
        <v>8</v>
      </c>
      <c r="E21" s="61">
        <v>4</v>
      </c>
      <c r="F21" s="64">
        <v>4</v>
      </c>
      <c r="G21" s="37"/>
      <c r="H21" s="986"/>
    </row>
    <row r="22" spans="1:9">
      <c r="A22" s="53" t="s">
        <v>164</v>
      </c>
      <c r="B22" s="56" t="s">
        <v>153</v>
      </c>
      <c r="C22" s="61">
        <v>4</v>
      </c>
      <c r="D22" s="62" t="s">
        <v>153</v>
      </c>
      <c r="E22" s="62" t="s">
        <v>153</v>
      </c>
      <c r="F22" s="62" t="s">
        <v>153</v>
      </c>
      <c r="G22" s="37"/>
      <c r="H22" s="987"/>
    </row>
    <row r="23" spans="1:9">
      <c r="A23" s="52" t="s">
        <v>165</v>
      </c>
      <c r="G23" s="65"/>
      <c r="H23" s="65"/>
      <c r="I23" s="65"/>
    </row>
    <row r="24" spans="1:9">
      <c r="A24" s="53" t="s">
        <v>144</v>
      </c>
      <c r="B24" s="53" t="s">
        <v>145</v>
      </c>
      <c r="C24" s="53" t="s">
        <v>146</v>
      </c>
      <c r="D24" s="53" t="s">
        <v>147</v>
      </c>
      <c r="E24" s="53" t="s">
        <v>148</v>
      </c>
      <c r="F24" s="53" t="s">
        <v>149</v>
      </c>
      <c r="G24" s="54" t="s">
        <v>150</v>
      </c>
      <c r="H24" s="55" t="s">
        <v>151</v>
      </c>
      <c r="I24" s="65"/>
    </row>
    <row r="25" spans="1:9">
      <c r="A25" s="53" t="s">
        <v>152</v>
      </c>
      <c r="B25" s="56" t="s">
        <v>153</v>
      </c>
      <c r="C25" s="57" t="s">
        <v>154</v>
      </c>
      <c r="D25" s="56" t="s">
        <v>153</v>
      </c>
      <c r="E25" s="56" t="s">
        <v>153</v>
      </c>
      <c r="F25" s="56" t="s">
        <v>153</v>
      </c>
      <c r="G25" s="37" t="s">
        <v>166</v>
      </c>
      <c r="H25" s="985" t="s">
        <v>167</v>
      </c>
      <c r="I25" s="65"/>
    </row>
    <row r="26" spans="1:9">
      <c r="A26" s="53" t="s">
        <v>157</v>
      </c>
      <c r="B26" s="56" t="s">
        <v>153</v>
      </c>
      <c r="C26" s="61">
        <v>4</v>
      </c>
      <c r="D26" s="61">
        <v>4</v>
      </c>
      <c r="E26" s="61">
        <v>4</v>
      </c>
      <c r="F26" s="61">
        <v>4</v>
      </c>
      <c r="G26" s="37"/>
      <c r="H26" s="986"/>
      <c r="I26" s="65"/>
    </row>
    <row r="27" spans="1:9">
      <c r="A27" s="53" t="s">
        <v>159</v>
      </c>
      <c r="B27" s="56" t="s">
        <v>153</v>
      </c>
      <c r="C27" s="61">
        <v>4</v>
      </c>
      <c r="D27" s="61">
        <v>4</v>
      </c>
      <c r="E27" s="61">
        <v>4</v>
      </c>
      <c r="F27" s="61">
        <v>4</v>
      </c>
      <c r="G27" s="37"/>
      <c r="H27" s="986"/>
      <c r="I27" s="65"/>
    </row>
    <row r="28" spans="1:9">
      <c r="A28" s="53" t="s">
        <v>161</v>
      </c>
      <c r="B28" s="56" t="s">
        <v>153</v>
      </c>
      <c r="C28" s="61">
        <v>4</v>
      </c>
      <c r="D28" s="61">
        <v>4</v>
      </c>
      <c r="E28" s="61">
        <v>4</v>
      </c>
      <c r="F28" s="61">
        <v>4</v>
      </c>
      <c r="G28" s="37"/>
      <c r="H28" s="986"/>
      <c r="I28" s="65"/>
    </row>
    <row r="29" spans="1:9">
      <c r="A29" s="53" t="s">
        <v>162</v>
      </c>
      <c r="B29" s="56" t="s">
        <v>153</v>
      </c>
      <c r="C29" s="61">
        <v>4</v>
      </c>
      <c r="D29" s="61">
        <v>4</v>
      </c>
      <c r="E29" s="61">
        <v>4</v>
      </c>
      <c r="F29" s="61">
        <v>4</v>
      </c>
      <c r="G29" s="37"/>
      <c r="H29" s="986"/>
      <c r="I29" s="65"/>
    </row>
    <row r="30" spans="1:9">
      <c r="A30" s="53" t="s">
        <v>163</v>
      </c>
      <c r="B30" s="56" t="s">
        <v>153</v>
      </c>
      <c r="C30" s="61">
        <v>4</v>
      </c>
      <c r="D30" s="61">
        <v>4</v>
      </c>
      <c r="E30" s="61">
        <v>4</v>
      </c>
      <c r="F30" s="61">
        <v>4</v>
      </c>
      <c r="G30" s="37"/>
      <c r="H30" s="986"/>
      <c r="I30" s="65"/>
    </row>
    <row r="31" spans="1:9">
      <c r="A31" s="53" t="s">
        <v>164</v>
      </c>
      <c r="B31" s="56" t="s">
        <v>153</v>
      </c>
      <c r="C31" s="61">
        <v>4</v>
      </c>
      <c r="D31" s="62" t="s">
        <v>153</v>
      </c>
      <c r="E31" s="62" t="s">
        <v>153</v>
      </c>
      <c r="F31" s="62" t="s">
        <v>153</v>
      </c>
      <c r="G31" s="37"/>
      <c r="H31" s="987"/>
      <c r="I31" s="65"/>
    </row>
    <row r="32" spans="1:9">
      <c r="A32" s="52" t="s">
        <v>168</v>
      </c>
    </row>
    <row r="33" spans="1:18">
      <c r="A33" s="53" t="s">
        <v>144</v>
      </c>
      <c r="B33" s="53" t="s">
        <v>145</v>
      </c>
      <c r="C33" s="53" t="s">
        <v>146</v>
      </c>
      <c r="D33" s="53" t="s">
        <v>147</v>
      </c>
      <c r="E33" s="53" t="s">
        <v>148</v>
      </c>
      <c r="F33" s="53" t="s">
        <v>149</v>
      </c>
      <c r="G33" s="54" t="s">
        <v>150</v>
      </c>
      <c r="H33" s="55" t="s">
        <v>151</v>
      </c>
    </row>
    <row r="34" spans="1:18">
      <c r="A34" s="53" t="s">
        <v>152</v>
      </c>
      <c r="B34" s="56" t="s">
        <v>153</v>
      </c>
      <c r="C34" s="57" t="s">
        <v>169</v>
      </c>
      <c r="D34" s="56" t="s">
        <v>153</v>
      </c>
      <c r="E34" s="56" t="s">
        <v>153</v>
      </c>
      <c r="F34" s="56" t="s">
        <v>153</v>
      </c>
      <c r="G34" s="37" t="s">
        <v>170</v>
      </c>
      <c r="H34" s="985" t="s">
        <v>171</v>
      </c>
    </row>
    <row r="35" spans="1:18">
      <c r="A35" s="53" t="s">
        <v>157</v>
      </c>
      <c r="B35" s="56" t="s">
        <v>153</v>
      </c>
      <c r="C35" s="61">
        <v>16</v>
      </c>
      <c r="D35" s="62" t="s">
        <v>153</v>
      </c>
      <c r="E35" s="62" t="s">
        <v>153</v>
      </c>
      <c r="F35" s="62" t="s">
        <v>153</v>
      </c>
      <c r="G35" s="37"/>
      <c r="H35" s="986"/>
    </row>
    <row r="36" spans="1:18">
      <c r="A36" s="53" t="s">
        <v>159</v>
      </c>
      <c r="B36" s="56" t="s">
        <v>153</v>
      </c>
      <c r="C36" s="61">
        <v>16</v>
      </c>
      <c r="D36" s="62" t="s">
        <v>153</v>
      </c>
      <c r="E36" s="62" t="s">
        <v>153</v>
      </c>
      <c r="F36" s="62" t="s">
        <v>153</v>
      </c>
      <c r="G36" s="37"/>
      <c r="H36" s="986"/>
    </row>
    <row r="37" spans="1:18">
      <c r="A37" s="53" t="s">
        <v>161</v>
      </c>
      <c r="B37" s="56" t="s">
        <v>153</v>
      </c>
      <c r="C37" s="61">
        <v>16</v>
      </c>
      <c r="D37" s="62" t="s">
        <v>153</v>
      </c>
      <c r="E37" s="56" t="s">
        <v>153</v>
      </c>
      <c r="F37" s="56" t="s">
        <v>153</v>
      </c>
      <c r="G37" s="37"/>
      <c r="H37" s="986"/>
    </row>
    <row r="38" spans="1:18">
      <c r="A38" s="53" t="s">
        <v>162</v>
      </c>
      <c r="B38" s="56" t="s">
        <v>153</v>
      </c>
      <c r="C38" s="61">
        <v>16</v>
      </c>
      <c r="D38" s="62" t="s">
        <v>153</v>
      </c>
      <c r="E38" s="62" t="s">
        <v>153</v>
      </c>
      <c r="F38" s="62" t="s">
        <v>153</v>
      </c>
      <c r="G38" s="37"/>
      <c r="H38" s="986"/>
    </row>
    <row r="39" spans="1:18">
      <c r="A39" s="53" t="s">
        <v>163</v>
      </c>
      <c r="B39" s="56" t="s">
        <v>153</v>
      </c>
      <c r="C39" s="61">
        <v>16</v>
      </c>
      <c r="D39" s="62" t="s">
        <v>153</v>
      </c>
      <c r="E39" s="62" t="s">
        <v>153</v>
      </c>
      <c r="F39" s="62" t="s">
        <v>153</v>
      </c>
      <c r="G39" s="37"/>
      <c r="H39" s="986"/>
    </row>
    <row r="40" spans="1:18">
      <c r="A40" s="53" t="s">
        <v>164</v>
      </c>
      <c r="B40" s="56" t="s">
        <v>153</v>
      </c>
      <c r="C40" s="61">
        <v>16</v>
      </c>
      <c r="D40" s="62" t="s">
        <v>153</v>
      </c>
      <c r="E40" s="62" t="s">
        <v>153</v>
      </c>
      <c r="F40" s="62" t="s">
        <v>153</v>
      </c>
      <c r="G40" s="37"/>
      <c r="H40" s="987"/>
    </row>
    <row r="41" spans="1:18">
      <c r="A41" s="52" t="s">
        <v>172</v>
      </c>
      <c r="B41" s="66"/>
      <c r="C41" s="66"/>
      <c r="D41" s="66"/>
      <c r="E41" s="66"/>
      <c r="F41" s="66"/>
      <c r="G41" s="65"/>
      <c r="H41" s="65"/>
      <c r="I41" s="65"/>
      <c r="J41" s="65"/>
      <c r="K41" s="65"/>
      <c r="L41" s="65"/>
      <c r="M41" s="65"/>
      <c r="N41" s="65"/>
      <c r="O41" s="65"/>
      <c r="P41" s="65"/>
      <c r="Q41" s="65"/>
      <c r="R41" s="65"/>
    </row>
    <row r="42" spans="1:18">
      <c r="A42" s="53" t="s">
        <v>144</v>
      </c>
      <c r="B42" s="53" t="s">
        <v>145</v>
      </c>
      <c r="C42" s="53" t="s">
        <v>146</v>
      </c>
      <c r="D42" s="53" t="s">
        <v>147</v>
      </c>
      <c r="E42" s="53" t="s">
        <v>148</v>
      </c>
      <c r="F42" s="53" t="s">
        <v>149</v>
      </c>
      <c r="G42" s="54" t="s">
        <v>150</v>
      </c>
      <c r="H42" s="55" t="s">
        <v>151</v>
      </c>
      <c r="I42" s="65"/>
    </row>
    <row r="43" spans="1:18">
      <c r="A43" s="53" t="s">
        <v>152</v>
      </c>
      <c r="B43" s="56" t="s">
        <v>153</v>
      </c>
      <c r="C43" s="61">
        <v>16</v>
      </c>
      <c r="D43" s="56" t="s">
        <v>153</v>
      </c>
      <c r="E43" s="56" t="s">
        <v>153</v>
      </c>
      <c r="F43" s="58" t="s">
        <v>153</v>
      </c>
      <c r="G43" s="59" t="s">
        <v>173</v>
      </c>
      <c r="H43" s="985" t="s">
        <v>173</v>
      </c>
      <c r="I43" s="65"/>
    </row>
    <row r="44" spans="1:18">
      <c r="A44" s="53" t="s">
        <v>157</v>
      </c>
      <c r="B44" s="56" t="s">
        <v>153</v>
      </c>
      <c r="C44" s="61">
        <v>16</v>
      </c>
      <c r="D44" s="56" t="s">
        <v>153</v>
      </c>
      <c r="E44" s="56" t="s">
        <v>153</v>
      </c>
      <c r="F44" s="58" t="s">
        <v>153</v>
      </c>
      <c r="G44" s="59" t="s">
        <v>174</v>
      </c>
      <c r="H44" s="986"/>
      <c r="I44" s="65"/>
    </row>
    <row r="45" spans="1:18">
      <c r="A45" s="53" t="s">
        <v>159</v>
      </c>
      <c r="B45" s="56" t="s">
        <v>153</v>
      </c>
      <c r="C45" s="57" t="s">
        <v>175</v>
      </c>
      <c r="D45" s="61">
        <v>8</v>
      </c>
      <c r="E45" s="62" t="s">
        <v>153</v>
      </c>
      <c r="F45" s="63" t="s">
        <v>153</v>
      </c>
      <c r="G45" s="59" t="s">
        <v>176</v>
      </c>
      <c r="H45" s="986"/>
      <c r="I45" s="65"/>
    </row>
    <row r="46" spans="1:18">
      <c r="A46" s="53" t="s">
        <v>161</v>
      </c>
      <c r="B46" s="56" t="s">
        <v>153</v>
      </c>
      <c r="C46" s="57" t="s">
        <v>177</v>
      </c>
      <c r="D46" s="61">
        <v>4</v>
      </c>
      <c r="E46" s="61">
        <v>4</v>
      </c>
      <c r="F46" s="64">
        <v>4</v>
      </c>
      <c r="G46" s="59"/>
      <c r="H46" s="986"/>
      <c r="I46" s="65"/>
    </row>
    <row r="47" spans="1:18">
      <c r="A47" s="53" t="s">
        <v>162</v>
      </c>
      <c r="B47" s="56" t="s">
        <v>153</v>
      </c>
      <c r="C47" s="57" t="s">
        <v>175</v>
      </c>
      <c r="D47" s="56" t="s">
        <v>153</v>
      </c>
      <c r="E47" s="61">
        <v>4</v>
      </c>
      <c r="F47" s="64">
        <v>4</v>
      </c>
      <c r="G47" s="37"/>
      <c r="H47" s="986"/>
      <c r="I47" s="65"/>
    </row>
    <row r="48" spans="1:18">
      <c r="A48" s="53" t="s">
        <v>163</v>
      </c>
      <c r="B48" s="56" t="s">
        <v>153</v>
      </c>
      <c r="C48" s="37"/>
      <c r="D48" s="61">
        <v>8</v>
      </c>
      <c r="E48" s="61">
        <v>4</v>
      </c>
      <c r="F48" s="64">
        <v>4</v>
      </c>
      <c r="G48" s="37"/>
      <c r="H48" s="986"/>
      <c r="I48" s="65"/>
    </row>
    <row r="49" spans="1:10">
      <c r="A49" s="53" t="s">
        <v>164</v>
      </c>
      <c r="B49" s="56" t="s">
        <v>153</v>
      </c>
      <c r="C49" s="61">
        <v>4</v>
      </c>
      <c r="D49" s="62" t="s">
        <v>153</v>
      </c>
      <c r="E49" s="62" t="s">
        <v>153</v>
      </c>
      <c r="F49" s="62" t="s">
        <v>153</v>
      </c>
      <c r="G49" s="37"/>
      <c r="H49" s="987"/>
      <c r="I49" s="65"/>
    </row>
    <row r="50" spans="1:10">
      <c r="J50" s="35" t="s">
        <v>178</v>
      </c>
    </row>
  </sheetData>
  <mergeCells count="7">
    <mergeCell ref="H34:H40"/>
    <mergeCell ref="H43:H49"/>
    <mergeCell ref="A2:D2"/>
    <mergeCell ref="A13:F13"/>
    <mergeCell ref="A1:E1"/>
    <mergeCell ref="H16:H22"/>
    <mergeCell ref="H25:H31"/>
  </mergeCells>
  <phoneticPr fontId="106"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fanout"/>
  <dimension ref="A1:N27"/>
  <sheetViews>
    <sheetView workbookViewId="0">
      <pane ySplit="2" topLeftCell="A3" activePane="bottomLeft" state="frozen"/>
      <selection pane="bottomLeft" sqref="A1:A2"/>
    </sheetView>
  </sheetViews>
  <sheetFormatPr defaultRowHeight="14"/>
  <cols>
    <col min="1" max="1" width="22.453125" style="35" customWidth="1"/>
    <col min="2" max="2" width="13.36328125" style="37" customWidth="1"/>
    <col min="3" max="3" width="15.81640625" style="37" customWidth="1"/>
    <col min="4" max="4" width="23.7265625" style="35" customWidth="1"/>
    <col min="5" max="5" width="30.08984375" style="35" customWidth="1"/>
    <col min="6" max="6" width="59.7265625" style="35" customWidth="1"/>
    <col min="7" max="7" width="43.26953125" style="35" customWidth="1"/>
    <col min="8" max="8" width="13.54296875" style="35" customWidth="1"/>
    <col min="9" max="9" width="15.08984375" style="35" customWidth="1"/>
    <col min="10" max="11" width="13.1796875" style="35" customWidth="1"/>
    <col min="12" max="12" width="42.54296875" style="35" customWidth="1"/>
    <col min="13" max="13" width="15.26953125" style="35" customWidth="1"/>
    <col min="14" max="14" width="38.54296875" style="35" customWidth="1"/>
  </cols>
  <sheetData>
    <row r="1" spans="1:14">
      <c r="A1" s="998" t="s">
        <v>0</v>
      </c>
      <c r="B1" s="998" t="s">
        <v>1</v>
      </c>
      <c r="C1" s="998" t="s">
        <v>2</v>
      </c>
      <c r="D1" s="998" t="s">
        <v>3</v>
      </c>
      <c r="E1" s="998" t="s">
        <v>4</v>
      </c>
      <c r="F1" s="1000" t="s">
        <v>5</v>
      </c>
      <c r="G1" s="996" t="s">
        <v>6</v>
      </c>
      <c r="H1" s="998" t="s">
        <v>7</v>
      </c>
      <c r="I1" s="998" t="s">
        <v>8</v>
      </c>
      <c r="J1" s="999" t="s">
        <v>9</v>
      </c>
      <c r="K1" s="997"/>
      <c r="L1" s="992" t="s">
        <v>10</v>
      </c>
      <c r="M1" s="994" t="s">
        <v>11</v>
      </c>
      <c r="N1" s="995" t="s">
        <v>12</v>
      </c>
    </row>
    <row r="2" spans="1:14" ht="56">
      <c r="A2" s="997"/>
      <c r="B2" s="997"/>
      <c r="C2" s="997"/>
      <c r="D2" s="997"/>
      <c r="E2" s="997"/>
      <c r="F2" s="987"/>
      <c r="G2" s="997"/>
      <c r="H2" s="997"/>
      <c r="I2" s="997"/>
      <c r="J2" s="3" t="s">
        <v>13</v>
      </c>
      <c r="K2" s="3" t="s">
        <v>14</v>
      </c>
      <c r="L2" s="993"/>
      <c r="M2" s="987"/>
      <c r="N2" s="987"/>
    </row>
    <row r="3" spans="1:14" ht="42">
      <c r="A3" s="4" t="s">
        <v>15</v>
      </c>
      <c r="B3" s="4"/>
      <c r="C3" s="4" t="s">
        <v>16</v>
      </c>
      <c r="D3" s="5" t="s">
        <v>17</v>
      </c>
      <c r="E3" s="6" t="s">
        <v>18</v>
      </c>
      <c r="F3" s="7" t="s">
        <v>19</v>
      </c>
      <c r="G3" s="7" t="s">
        <v>20</v>
      </c>
      <c r="H3" s="8" t="s">
        <v>21</v>
      </c>
      <c r="I3" s="8" t="s">
        <v>22</v>
      </c>
      <c r="J3" s="9"/>
      <c r="K3" s="10" t="s">
        <v>23</v>
      </c>
      <c r="L3" s="11" t="s">
        <v>24</v>
      </c>
      <c r="M3" s="12"/>
      <c r="N3" s="13"/>
    </row>
    <row r="4" spans="1:14" ht="42">
      <c r="A4" s="14" t="s">
        <v>25</v>
      </c>
      <c r="B4" s="15"/>
      <c r="C4" s="15" t="s">
        <v>16</v>
      </c>
      <c r="D4" s="16" t="s">
        <v>26</v>
      </c>
      <c r="E4" s="17" t="s">
        <v>18</v>
      </c>
      <c r="F4" s="18" t="s">
        <v>27</v>
      </c>
      <c r="G4" s="17" t="s">
        <v>20</v>
      </c>
      <c r="H4" s="19" t="s">
        <v>21</v>
      </c>
      <c r="I4" s="20" t="s">
        <v>22</v>
      </c>
      <c r="J4" s="21"/>
      <c r="K4" s="21" t="s">
        <v>23</v>
      </c>
      <c r="L4" s="22" t="s">
        <v>24</v>
      </c>
      <c r="M4" s="12"/>
      <c r="N4" s="13"/>
    </row>
    <row r="5" spans="1:14" ht="42">
      <c r="A5" s="14" t="s">
        <v>28</v>
      </c>
      <c r="B5" s="15"/>
      <c r="C5" s="15" t="s">
        <v>16</v>
      </c>
      <c r="D5" s="16" t="s">
        <v>29</v>
      </c>
      <c r="E5" s="17" t="s">
        <v>18</v>
      </c>
      <c r="F5" s="18" t="s">
        <v>30</v>
      </c>
      <c r="G5" s="17" t="s">
        <v>20</v>
      </c>
      <c r="H5" s="19" t="s">
        <v>21</v>
      </c>
      <c r="I5" s="20" t="s">
        <v>22</v>
      </c>
      <c r="J5" s="21"/>
      <c r="K5" s="21" t="s">
        <v>23</v>
      </c>
      <c r="L5" s="22" t="s">
        <v>24</v>
      </c>
      <c r="M5" s="23"/>
      <c r="N5" s="15"/>
    </row>
    <row r="6" spans="1:14" ht="42">
      <c r="A6" s="14" t="s">
        <v>31</v>
      </c>
      <c r="B6" s="15"/>
      <c r="C6" s="15" t="s">
        <v>16</v>
      </c>
      <c r="D6" s="16" t="s">
        <v>32</v>
      </c>
      <c r="E6" s="17" t="s">
        <v>18</v>
      </c>
      <c r="F6" s="18" t="s">
        <v>33</v>
      </c>
      <c r="G6" s="17" t="s">
        <v>20</v>
      </c>
      <c r="H6" s="19" t="s">
        <v>21</v>
      </c>
      <c r="I6" s="20" t="s">
        <v>22</v>
      </c>
      <c r="J6" s="21"/>
      <c r="K6" s="21" t="s">
        <v>23</v>
      </c>
      <c r="L6" s="22" t="s">
        <v>24</v>
      </c>
      <c r="M6" s="12"/>
      <c r="N6" s="13"/>
    </row>
    <row r="7" spans="1:14" ht="42">
      <c r="A7" s="14" t="s">
        <v>34</v>
      </c>
      <c r="B7" s="15"/>
      <c r="C7" s="15" t="s">
        <v>16</v>
      </c>
      <c r="D7" s="16" t="s">
        <v>35</v>
      </c>
      <c r="E7" s="17" t="s">
        <v>18</v>
      </c>
      <c r="F7" s="18" t="s">
        <v>36</v>
      </c>
      <c r="G7" s="17" t="s">
        <v>20</v>
      </c>
      <c r="H7" s="19" t="s">
        <v>21</v>
      </c>
      <c r="I7" s="20" t="s">
        <v>22</v>
      </c>
      <c r="J7" s="21"/>
      <c r="K7" s="24" t="s">
        <v>23</v>
      </c>
      <c r="L7" s="25" t="s">
        <v>3172</v>
      </c>
      <c r="M7" s="12"/>
      <c r="N7" s="26" t="s">
        <v>37</v>
      </c>
    </row>
    <row r="8" spans="1:14" ht="42">
      <c r="A8" s="14" t="s">
        <v>38</v>
      </c>
      <c r="B8" s="15"/>
      <c r="C8" s="15" t="s">
        <v>16</v>
      </c>
      <c r="D8" s="16" t="s">
        <v>39</v>
      </c>
      <c r="E8" s="17" t="s">
        <v>18</v>
      </c>
      <c r="F8" s="18" t="s">
        <v>40</v>
      </c>
      <c r="G8" s="17" t="s">
        <v>20</v>
      </c>
      <c r="H8" s="19" t="s">
        <v>21</v>
      </c>
      <c r="I8" s="20" t="s">
        <v>22</v>
      </c>
      <c r="J8" s="21"/>
      <c r="K8" s="24" t="s">
        <v>23</v>
      </c>
      <c r="L8" s="27" t="s">
        <v>41</v>
      </c>
      <c r="M8" s="28" t="s">
        <v>3173</v>
      </c>
      <c r="N8" s="29"/>
    </row>
    <row r="9" spans="1:14" ht="42">
      <c r="A9" s="14" t="s">
        <v>42</v>
      </c>
      <c r="B9" s="15"/>
      <c r="C9" s="15" t="s">
        <v>16</v>
      </c>
      <c r="D9" s="16" t="s">
        <v>43</v>
      </c>
      <c r="E9" s="17" t="s">
        <v>18</v>
      </c>
      <c r="F9" s="18" t="s">
        <v>44</v>
      </c>
      <c r="G9" s="17" t="s">
        <v>20</v>
      </c>
      <c r="H9" s="19" t="s">
        <v>21</v>
      </c>
      <c r="I9" s="20" t="s">
        <v>22</v>
      </c>
      <c r="J9" s="21"/>
      <c r="K9" s="24" t="s">
        <v>23</v>
      </c>
      <c r="L9" s="27" t="s">
        <v>41</v>
      </c>
      <c r="M9" s="12"/>
      <c r="N9" s="13"/>
    </row>
    <row r="10" spans="1:14" ht="42">
      <c r="A10" s="14" t="s">
        <v>45</v>
      </c>
      <c r="B10" s="15"/>
      <c r="C10" s="15" t="s">
        <v>16</v>
      </c>
      <c r="D10" s="16" t="s">
        <v>46</v>
      </c>
      <c r="E10" s="17" t="s">
        <v>18</v>
      </c>
      <c r="F10" s="18" t="s">
        <v>47</v>
      </c>
      <c r="G10" s="17" t="s">
        <v>20</v>
      </c>
      <c r="H10" s="19" t="s">
        <v>21</v>
      </c>
      <c r="I10" s="20" t="s">
        <v>22</v>
      </c>
      <c r="J10" s="21"/>
      <c r="K10" s="24" t="s">
        <v>23</v>
      </c>
      <c r="L10" s="27" t="s">
        <v>41</v>
      </c>
      <c r="M10" s="12"/>
      <c r="N10" s="13"/>
    </row>
    <row r="11" spans="1:14" ht="42">
      <c r="A11" s="14" t="s">
        <v>48</v>
      </c>
      <c r="B11" s="15"/>
      <c r="C11" s="15" t="s">
        <v>16</v>
      </c>
      <c r="D11" s="16" t="s">
        <v>49</v>
      </c>
      <c r="E11" s="17" t="s">
        <v>18</v>
      </c>
      <c r="F11" s="18" t="s">
        <v>50</v>
      </c>
      <c r="G11" s="17" t="s">
        <v>20</v>
      </c>
      <c r="H11" s="19" t="s">
        <v>21</v>
      </c>
      <c r="I11" s="20" t="s">
        <v>22</v>
      </c>
      <c r="J11" s="21"/>
      <c r="K11" s="24" t="s">
        <v>23</v>
      </c>
      <c r="L11" s="25" t="s">
        <v>51</v>
      </c>
      <c r="M11" s="12"/>
      <c r="N11" s="13"/>
    </row>
    <row r="12" spans="1:14" ht="42">
      <c r="A12" s="14" t="s">
        <v>52</v>
      </c>
      <c r="B12" s="15"/>
      <c r="C12" s="15" t="s">
        <v>16</v>
      </c>
      <c r="D12" s="16" t="s">
        <v>53</v>
      </c>
      <c r="E12" s="17" t="s">
        <v>18</v>
      </c>
      <c r="F12" s="18" t="s">
        <v>54</v>
      </c>
      <c r="G12" s="17" t="s">
        <v>20</v>
      </c>
      <c r="H12" s="19" t="s">
        <v>21</v>
      </c>
      <c r="I12" s="20" t="s">
        <v>22</v>
      </c>
      <c r="J12" s="21"/>
      <c r="K12" s="24" t="s">
        <v>23</v>
      </c>
      <c r="L12" s="25" t="s">
        <v>51</v>
      </c>
      <c r="M12" s="12"/>
      <c r="N12" s="13"/>
    </row>
    <row r="13" spans="1:14" ht="42">
      <c r="A13" s="14" t="s">
        <v>55</v>
      </c>
      <c r="B13" s="15"/>
      <c r="C13" s="15" t="s">
        <v>16</v>
      </c>
      <c r="D13" s="16" t="s">
        <v>56</v>
      </c>
      <c r="E13" s="17" t="s">
        <v>18</v>
      </c>
      <c r="F13" s="18" t="s">
        <v>57</v>
      </c>
      <c r="G13" s="17" t="s">
        <v>20</v>
      </c>
      <c r="H13" s="19" t="s">
        <v>21</v>
      </c>
      <c r="I13" s="20" t="s">
        <v>22</v>
      </c>
      <c r="J13" s="21"/>
      <c r="K13" s="24" t="s">
        <v>23</v>
      </c>
      <c r="L13" s="25" t="s">
        <v>51</v>
      </c>
      <c r="M13" s="12"/>
      <c r="N13" s="13"/>
    </row>
    <row r="14" spans="1:14" ht="42">
      <c r="A14" s="14" t="s">
        <v>58</v>
      </c>
      <c r="B14" s="15"/>
      <c r="C14" s="15" t="s">
        <v>16</v>
      </c>
      <c r="D14" s="16" t="s">
        <v>59</v>
      </c>
      <c r="E14" s="17" t="s">
        <v>18</v>
      </c>
      <c r="F14" s="18" t="s">
        <v>60</v>
      </c>
      <c r="G14" s="17" t="s">
        <v>20</v>
      </c>
      <c r="H14" s="19" t="s">
        <v>21</v>
      </c>
      <c r="I14" s="20" t="s">
        <v>22</v>
      </c>
      <c r="J14" s="21"/>
      <c r="K14" s="24" t="s">
        <v>23</v>
      </c>
      <c r="L14" s="25" t="s">
        <v>51</v>
      </c>
      <c r="M14" s="12"/>
      <c r="N14" s="13"/>
    </row>
    <row r="15" spans="1:14" ht="42">
      <c r="A15" s="14" t="s">
        <v>61</v>
      </c>
      <c r="B15" s="15"/>
      <c r="C15" s="15" t="s">
        <v>16</v>
      </c>
      <c r="D15" s="16" t="s">
        <v>62</v>
      </c>
      <c r="E15" s="17" t="s">
        <v>18</v>
      </c>
      <c r="F15" s="18" t="s">
        <v>63</v>
      </c>
      <c r="G15" s="17" t="s">
        <v>20</v>
      </c>
      <c r="H15" s="19" t="s">
        <v>21</v>
      </c>
      <c r="I15" s="20" t="s">
        <v>22</v>
      </c>
      <c r="J15" s="21"/>
      <c r="K15" s="24" t="s">
        <v>64</v>
      </c>
      <c r="L15" s="30" t="s">
        <v>65</v>
      </c>
      <c r="M15" s="31" t="s">
        <v>66</v>
      </c>
      <c r="N15" s="32"/>
    </row>
    <row r="16" spans="1:14" ht="42">
      <c r="A16" s="14" t="s">
        <v>67</v>
      </c>
      <c r="B16" s="15"/>
      <c r="C16" s="15" t="s">
        <v>16</v>
      </c>
      <c r="D16" s="16" t="s">
        <v>68</v>
      </c>
      <c r="E16" s="17" t="s">
        <v>18</v>
      </c>
      <c r="F16" s="18" t="s">
        <v>69</v>
      </c>
      <c r="G16" s="17" t="s">
        <v>20</v>
      </c>
      <c r="H16" s="19" t="s">
        <v>21</v>
      </c>
      <c r="I16" s="20" t="s">
        <v>22</v>
      </c>
      <c r="J16" s="21"/>
      <c r="K16" s="24" t="s">
        <v>64</v>
      </c>
      <c r="L16" s="30" t="s">
        <v>70</v>
      </c>
      <c r="M16" s="13" t="s">
        <v>71</v>
      </c>
      <c r="N16" s="13"/>
    </row>
    <row r="17" spans="1:14" ht="42">
      <c r="A17" s="14" t="s">
        <v>72</v>
      </c>
      <c r="B17" s="15"/>
      <c r="C17" s="15" t="s">
        <v>16</v>
      </c>
      <c r="D17" s="16" t="s">
        <v>73</v>
      </c>
      <c r="E17" s="17" t="s">
        <v>18</v>
      </c>
      <c r="F17" s="18" t="s">
        <v>74</v>
      </c>
      <c r="G17" s="17" t="s">
        <v>20</v>
      </c>
      <c r="H17" s="19" t="s">
        <v>21</v>
      </c>
      <c r="I17" s="20" t="s">
        <v>22</v>
      </c>
      <c r="J17" s="21"/>
      <c r="K17" s="24" t="s">
        <v>64</v>
      </c>
      <c r="L17" s="30" t="s">
        <v>70</v>
      </c>
      <c r="M17" s="12"/>
      <c r="N17" s="13"/>
    </row>
    <row r="18" spans="1:14" ht="49.5">
      <c r="A18" s="14" t="s">
        <v>75</v>
      </c>
      <c r="B18" s="15"/>
      <c r="C18" s="15" t="s">
        <v>16</v>
      </c>
      <c r="D18" s="16" t="s">
        <v>76</v>
      </c>
      <c r="E18" s="17" t="s">
        <v>18</v>
      </c>
      <c r="F18" s="18" t="s">
        <v>3174</v>
      </c>
      <c r="G18" s="17" t="s">
        <v>20</v>
      </c>
      <c r="H18" s="19" t="s">
        <v>21</v>
      </c>
      <c r="I18" s="20" t="s">
        <v>22</v>
      </c>
      <c r="J18" s="21"/>
      <c r="K18" s="24" t="s">
        <v>23</v>
      </c>
      <c r="L18" s="27" t="s">
        <v>77</v>
      </c>
      <c r="M18" s="12"/>
      <c r="N18" s="13"/>
    </row>
    <row r="19" spans="1:14" ht="42">
      <c r="A19" s="14" t="s">
        <v>78</v>
      </c>
      <c r="B19" s="15"/>
      <c r="C19" s="15" t="s">
        <v>16</v>
      </c>
      <c r="D19" s="16" t="s">
        <v>79</v>
      </c>
      <c r="E19" s="17" t="s">
        <v>18</v>
      </c>
      <c r="F19" s="18" t="s">
        <v>80</v>
      </c>
      <c r="G19" s="17" t="s">
        <v>20</v>
      </c>
      <c r="H19" s="19" t="s">
        <v>21</v>
      </c>
      <c r="I19" s="20" t="s">
        <v>22</v>
      </c>
      <c r="J19" s="21" t="s">
        <v>23</v>
      </c>
      <c r="K19" s="24"/>
      <c r="L19" s="33"/>
      <c r="M19" s="12"/>
      <c r="N19" s="13"/>
    </row>
    <row r="20" spans="1:14" ht="42">
      <c r="A20" s="14" t="s">
        <v>81</v>
      </c>
      <c r="B20" s="15"/>
      <c r="C20" s="15" t="s">
        <v>16</v>
      </c>
      <c r="D20" s="16" t="s">
        <v>82</v>
      </c>
      <c r="E20" s="17" t="s">
        <v>18</v>
      </c>
      <c r="F20" s="18" t="s">
        <v>83</v>
      </c>
      <c r="G20" s="17" t="s">
        <v>20</v>
      </c>
      <c r="H20" s="19" t="s">
        <v>21</v>
      </c>
      <c r="I20" s="20" t="s">
        <v>22</v>
      </c>
      <c r="J20" s="21" t="s">
        <v>23</v>
      </c>
      <c r="K20" s="24"/>
      <c r="L20" s="23"/>
      <c r="M20" s="12"/>
      <c r="N20" s="13"/>
    </row>
    <row r="21" spans="1:14" ht="42">
      <c r="A21" s="14" t="s">
        <v>84</v>
      </c>
      <c r="B21" s="15"/>
      <c r="C21" s="15" t="s">
        <v>16</v>
      </c>
      <c r="D21" s="16" t="s">
        <v>85</v>
      </c>
      <c r="E21" s="17" t="s">
        <v>18</v>
      </c>
      <c r="F21" s="18" t="s">
        <v>86</v>
      </c>
      <c r="G21" s="17" t="s">
        <v>20</v>
      </c>
      <c r="H21" s="19" t="s">
        <v>21</v>
      </c>
      <c r="I21" s="20" t="s">
        <v>22</v>
      </c>
      <c r="J21" s="21" t="s">
        <v>23</v>
      </c>
      <c r="K21" s="24"/>
      <c r="L21" s="23"/>
      <c r="M21" s="12"/>
      <c r="N21" s="13"/>
    </row>
    <row r="22" spans="1:14" ht="42">
      <c r="A22" s="14" t="s">
        <v>87</v>
      </c>
      <c r="B22" s="15"/>
      <c r="C22" s="15" t="s">
        <v>16</v>
      </c>
      <c r="D22" s="16" t="s">
        <v>88</v>
      </c>
      <c r="E22" s="17" t="s">
        <v>18</v>
      </c>
      <c r="F22" s="18" t="s">
        <v>89</v>
      </c>
      <c r="G22" s="17" t="s">
        <v>20</v>
      </c>
      <c r="H22" s="19" t="s">
        <v>21</v>
      </c>
      <c r="I22" s="20" t="s">
        <v>22</v>
      </c>
      <c r="J22" s="21" t="s">
        <v>23</v>
      </c>
      <c r="K22" s="24"/>
      <c r="L22" s="23"/>
      <c r="M22" s="12"/>
      <c r="N22" s="13"/>
    </row>
    <row r="23" spans="1:14" ht="42">
      <c r="A23" s="14" t="s">
        <v>90</v>
      </c>
      <c r="B23" s="15"/>
      <c r="C23" s="15" t="s">
        <v>16</v>
      </c>
      <c r="D23" s="16" t="s">
        <v>91</v>
      </c>
      <c r="E23" s="17" t="s">
        <v>18</v>
      </c>
      <c r="F23" s="18" t="s">
        <v>92</v>
      </c>
      <c r="G23" s="17" t="s">
        <v>20</v>
      </c>
      <c r="H23" s="19" t="s">
        <v>21</v>
      </c>
      <c r="I23" s="20" t="s">
        <v>22</v>
      </c>
      <c r="J23" s="21" t="s">
        <v>23</v>
      </c>
      <c r="K23" s="24"/>
      <c r="L23" s="23"/>
      <c r="M23" s="12"/>
      <c r="N23" s="13"/>
    </row>
    <row r="24" spans="1:14" ht="56">
      <c r="A24" s="14" t="s">
        <v>93</v>
      </c>
      <c r="B24" s="15"/>
      <c r="C24" s="15" t="s">
        <v>16</v>
      </c>
      <c r="D24" s="16" t="s">
        <v>94</v>
      </c>
      <c r="E24" s="17" t="s">
        <v>18</v>
      </c>
      <c r="F24" s="18" t="s">
        <v>95</v>
      </c>
      <c r="G24" s="17" t="s">
        <v>20</v>
      </c>
      <c r="H24" s="19" t="s">
        <v>21</v>
      </c>
      <c r="I24" s="20" t="s">
        <v>22</v>
      </c>
      <c r="J24" s="34" t="s">
        <v>64</v>
      </c>
      <c r="K24" s="24" t="s">
        <v>23</v>
      </c>
      <c r="L24" s="33" t="s">
        <v>96</v>
      </c>
      <c r="M24" s="28" t="s">
        <v>3175</v>
      </c>
      <c r="N24" s="29"/>
    </row>
    <row r="25" spans="1:14" ht="56">
      <c r="A25" s="14" t="s">
        <v>97</v>
      </c>
      <c r="B25" s="15"/>
      <c r="C25" s="15" t="s">
        <v>16</v>
      </c>
      <c r="D25" s="16" t="s">
        <v>98</v>
      </c>
      <c r="E25" s="17" t="s">
        <v>18</v>
      </c>
      <c r="F25" s="18" t="s">
        <v>99</v>
      </c>
      <c r="G25" s="17" t="s">
        <v>20</v>
      </c>
      <c r="H25" s="19" t="s">
        <v>21</v>
      </c>
      <c r="I25" s="20" t="s">
        <v>22</v>
      </c>
      <c r="J25" s="34" t="s">
        <v>64</v>
      </c>
      <c r="K25" s="24" t="s">
        <v>23</v>
      </c>
      <c r="L25" s="33" t="s">
        <v>100</v>
      </c>
      <c r="M25" s="12"/>
      <c r="N25" s="13"/>
    </row>
    <row r="26" spans="1:14" ht="56">
      <c r="A26" s="14" t="s">
        <v>101</v>
      </c>
      <c r="B26" s="15"/>
      <c r="C26" s="15" t="s">
        <v>16</v>
      </c>
      <c r="D26" s="16" t="s">
        <v>102</v>
      </c>
      <c r="E26" s="17" t="s">
        <v>18</v>
      </c>
      <c r="F26" s="18" t="s">
        <v>103</v>
      </c>
      <c r="G26" s="17" t="s">
        <v>20</v>
      </c>
      <c r="H26" s="19" t="s">
        <v>21</v>
      </c>
      <c r="I26" s="20" t="s">
        <v>22</v>
      </c>
      <c r="J26" s="34" t="s">
        <v>64</v>
      </c>
      <c r="K26" s="24" t="s">
        <v>23</v>
      </c>
      <c r="L26" s="33" t="s">
        <v>104</v>
      </c>
      <c r="M26" s="12"/>
      <c r="N26" s="26" t="s">
        <v>105</v>
      </c>
    </row>
    <row r="27" spans="1:14" ht="56">
      <c r="A27" s="14" t="s">
        <v>106</v>
      </c>
      <c r="B27" s="15"/>
      <c r="C27" s="15" t="s">
        <v>16</v>
      </c>
      <c r="D27" s="16" t="s">
        <v>107</v>
      </c>
      <c r="E27" s="17" t="s">
        <v>18</v>
      </c>
      <c r="F27" s="18" t="s">
        <v>108</v>
      </c>
      <c r="G27" s="17" t="s">
        <v>20</v>
      </c>
      <c r="H27" s="19" t="s">
        <v>21</v>
      </c>
      <c r="I27" s="20" t="s">
        <v>22</v>
      </c>
      <c r="J27" s="34" t="s">
        <v>64</v>
      </c>
      <c r="K27" s="24" t="s">
        <v>23</v>
      </c>
      <c r="L27" s="33" t="s">
        <v>100</v>
      </c>
      <c r="M27" s="12"/>
      <c r="N27" s="13"/>
    </row>
  </sheetData>
  <autoFilter ref="A1:N27" xr:uid="{00000000-0009-0000-0000-000006000000}"/>
  <mergeCells count="13">
    <mergeCell ref="F1:F2"/>
    <mergeCell ref="A1:A2"/>
    <mergeCell ref="B1:B2"/>
    <mergeCell ref="C1:C2"/>
    <mergeCell ref="D1:D2"/>
    <mergeCell ref="E1:E2"/>
    <mergeCell ref="L1:L2"/>
    <mergeCell ref="M1:M2"/>
    <mergeCell ref="N1:N2"/>
    <mergeCell ref="G1:G2"/>
    <mergeCell ref="H1:H2"/>
    <mergeCell ref="I1:I2"/>
    <mergeCell ref="J1:K1"/>
  </mergeCells>
  <phoneticPr fontId="106" type="noConversion"/>
  <dataValidations count="4">
    <dataValidation type="list" allowBlank="1" showInputMessage="1" showErrorMessage="1" sqref="J1:J1048576 K3:K27" xr:uid="{00000000-0002-0000-0600-000000000000}">
      <formula1>"NT,PASS,FAIL,BLOCK,"</formula1>
    </dataValidation>
    <dataValidation type="list" showInputMessage="1" showErrorMessage="1" sqref="C3:C27" xr:uid="{00000000-0002-0000-0600-000001000000}">
      <formula1>"Basicfunction,Cross-module,Pressure,Performance"</formula1>
    </dataValidation>
    <dataValidation type="list" allowBlank="1" showInputMessage="1" showErrorMessage="1" sqref="H3:H27" xr:uid="{00000000-0002-0000-0600-000002000000}">
      <formula1>"P0,P1,P2"</formula1>
    </dataValidation>
    <dataValidation type="list" allowBlank="1" showInputMessage="1" showErrorMessage="1" sqref="I3:I27" xr:uid="{00000000-0002-0000-0600-000003000000}">
      <formula1>"Yes,No"</formula1>
    </dataValidation>
  </dataValidations>
  <hyperlinks>
    <hyperlink ref="M8" r:id="rId1" xr:uid="{00000000-0004-0000-0600-000000000000}"/>
    <hyperlink ref="M24" r:id="rId2" xr:uid="{00000000-0004-0000-0600-00000100000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AI场景"/>
  <dimension ref="A1:R38"/>
  <sheetViews>
    <sheetView workbookViewId="0">
      <pane xSplit="14" ySplit="2" topLeftCell="O3" activePane="bottomRight" state="frozen"/>
      <selection pane="topRight"/>
      <selection pane="bottomLeft"/>
      <selection pane="bottomRight" activeCell="O3" sqref="O3"/>
    </sheetView>
  </sheetViews>
  <sheetFormatPr defaultRowHeight="14"/>
  <cols>
    <col min="1" max="1" width="18.54296875" style="162" customWidth="1"/>
    <col min="2" max="2" width="13.6328125" style="162" customWidth="1"/>
    <col min="3" max="3" width="13.81640625" style="162" customWidth="1"/>
    <col min="4" max="4" width="28.26953125" style="162" customWidth="1"/>
    <col min="5" max="5" width="36.08984375" style="162" customWidth="1"/>
    <col min="6" max="6" width="48.7265625" style="162" customWidth="1"/>
    <col min="7" max="7" width="32.26953125" style="162" customWidth="1"/>
    <col min="8" max="8" width="13.36328125" style="162" customWidth="1"/>
    <col min="9" max="9" width="13.6328125" style="162" customWidth="1"/>
    <col min="10" max="10" width="22.90625" style="162" customWidth="1"/>
    <col min="11" max="12" width="15.81640625" style="162" customWidth="1"/>
    <col min="13" max="13" width="27" style="162" customWidth="1"/>
    <col min="14" max="15" width="32.26953125" style="162" customWidth="1"/>
  </cols>
  <sheetData>
    <row r="1" spans="1:18" ht="33" customHeight="1">
      <c r="A1" s="1004" t="s">
        <v>0</v>
      </c>
      <c r="B1" s="1004" t="s">
        <v>1</v>
      </c>
      <c r="C1" s="1004" t="s">
        <v>2</v>
      </c>
      <c r="D1" s="1004" t="s">
        <v>3</v>
      </c>
      <c r="E1" s="1004" t="s">
        <v>4</v>
      </c>
      <c r="F1" s="1002" t="s">
        <v>5</v>
      </c>
      <c r="G1" s="1005" t="s">
        <v>6</v>
      </c>
      <c r="H1" s="1004" t="s">
        <v>7</v>
      </c>
      <c r="I1" s="1004" t="s">
        <v>8</v>
      </c>
      <c r="J1" s="999" t="s">
        <v>9</v>
      </c>
      <c r="K1" s="984"/>
      <c r="L1" s="2"/>
      <c r="M1" s="998" t="s">
        <v>10</v>
      </c>
      <c r="N1" s="998" t="s">
        <v>11</v>
      </c>
      <c r="O1" s="640"/>
    </row>
    <row r="2" spans="1:18" ht="61.5" customHeight="1">
      <c r="A2" s="1001"/>
      <c r="B2" s="1001"/>
      <c r="C2" s="1001"/>
      <c r="D2" s="1001"/>
      <c r="E2" s="1001"/>
      <c r="F2" s="1003"/>
      <c r="G2" s="1001"/>
      <c r="H2" s="1001"/>
      <c r="I2" s="1001"/>
      <c r="J2" s="601" t="s">
        <v>1793</v>
      </c>
      <c r="K2" s="601" t="s">
        <v>13</v>
      </c>
      <c r="L2" s="601" t="s">
        <v>14</v>
      </c>
      <c r="M2" s="1001"/>
      <c r="N2" s="1001"/>
      <c r="O2" s="640"/>
    </row>
    <row r="3" spans="1:18" ht="56">
      <c r="A3" s="641" t="s">
        <v>1794</v>
      </c>
      <c r="B3" s="642"/>
      <c r="C3" s="643" t="s">
        <v>16</v>
      </c>
      <c r="D3" s="16" t="s">
        <v>1795</v>
      </c>
      <c r="E3" s="641" t="s">
        <v>1796</v>
      </c>
      <c r="F3" s="641" t="s">
        <v>1797</v>
      </c>
      <c r="G3" s="641" t="s">
        <v>1798</v>
      </c>
      <c r="H3" s="644" t="s">
        <v>21</v>
      </c>
      <c r="I3" s="642"/>
      <c r="J3" s="21"/>
      <c r="K3" s="21" t="s">
        <v>23</v>
      </c>
      <c r="L3" s="21"/>
      <c r="M3" s="18"/>
      <c r="N3" s="16"/>
    </row>
    <row r="4" spans="1:18" ht="70">
      <c r="A4" s="16" t="s">
        <v>1799</v>
      </c>
      <c r="B4" s="18"/>
      <c r="C4" s="15" t="s">
        <v>16</v>
      </c>
      <c r="D4" s="16" t="s">
        <v>1800</v>
      </c>
      <c r="E4" s="16" t="s">
        <v>1801</v>
      </c>
      <c r="F4" s="16" t="s">
        <v>1802</v>
      </c>
      <c r="G4" s="16" t="s">
        <v>1803</v>
      </c>
      <c r="H4" s="19" t="s">
        <v>21</v>
      </c>
      <c r="I4" s="18"/>
      <c r="J4" s="21"/>
      <c r="K4" s="21" t="s">
        <v>23</v>
      </c>
      <c r="L4" s="21"/>
      <c r="M4" s="18"/>
      <c r="N4" s="16" t="s">
        <v>1804</v>
      </c>
    </row>
    <row r="5" spans="1:18" ht="56">
      <c r="A5" s="16" t="s">
        <v>1805</v>
      </c>
      <c r="B5" s="18"/>
      <c r="C5" s="15" t="s">
        <v>16</v>
      </c>
      <c r="D5" s="16" t="s">
        <v>1806</v>
      </c>
      <c r="E5" s="16" t="s">
        <v>1807</v>
      </c>
      <c r="F5" s="16" t="s">
        <v>1808</v>
      </c>
      <c r="G5" s="16" t="s">
        <v>1809</v>
      </c>
      <c r="H5" s="19" t="s">
        <v>21</v>
      </c>
      <c r="I5" s="18"/>
      <c r="J5" s="21"/>
      <c r="K5" s="21" t="s">
        <v>23</v>
      </c>
      <c r="L5" s="21"/>
      <c r="M5" s="18"/>
      <c r="N5" s="16" t="s">
        <v>1810</v>
      </c>
    </row>
    <row r="6" spans="1:18" ht="56">
      <c r="A6" s="16" t="s">
        <v>1811</v>
      </c>
      <c r="B6" s="18"/>
      <c r="C6" s="15" t="s">
        <v>16</v>
      </c>
      <c r="D6" s="16" t="s">
        <v>1812</v>
      </c>
      <c r="E6" s="16" t="s">
        <v>1813</v>
      </c>
      <c r="F6" s="16" t="s">
        <v>1814</v>
      </c>
      <c r="G6" s="16" t="s">
        <v>1815</v>
      </c>
      <c r="H6" s="19" t="s">
        <v>21</v>
      </c>
      <c r="I6" s="18"/>
      <c r="J6" s="21"/>
      <c r="K6" s="21" t="s">
        <v>23</v>
      </c>
      <c r="L6" s="21"/>
      <c r="M6" s="18"/>
      <c r="N6" s="16" t="s">
        <v>1816</v>
      </c>
    </row>
    <row r="7" spans="1:18" ht="42">
      <c r="A7" s="16" t="s">
        <v>1817</v>
      </c>
      <c r="B7" s="18"/>
      <c r="C7" s="15" t="s">
        <v>16</v>
      </c>
      <c r="D7" s="16" t="s">
        <v>1818</v>
      </c>
      <c r="E7" s="16" t="s">
        <v>1819</v>
      </c>
      <c r="F7" s="16" t="s">
        <v>1820</v>
      </c>
      <c r="G7" s="16" t="s">
        <v>1821</v>
      </c>
      <c r="H7" s="19" t="s">
        <v>21</v>
      </c>
      <c r="I7" s="18"/>
      <c r="J7" s="21" t="s">
        <v>23</v>
      </c>
      <c r="K7" s="21"/>
      <c r="L7" s="21"/>
      <c r="M7" s="16"/>
      <c r="N7" s="16"/>
    </row>
    <row r="8" spans="1:18" ht="42">
      <c r="A8" s="16" t="s">
        <v>1822</v>
      </c>
      <c r="B8" s="18"/>
      <c r="C8" s="15" t="s">
        <v>16</v>
      </c>
      <c r="D8" s="16" t="s">
        <v>1823</v>
      </c>
      <c r="E8" s="16" t="s">
        <v>1824</v>
      </c>
      <c r="F8" s="16" t="s">
        <v>1825</v>
      </c>
      <c r="G8" s="16" t="s">
        <v>1821</v>
      </c>
      <c r="H8" s="19" t="s">
        <v>21</v>
      </c>
      <c r="I8" s="18"/>
      <c r="J8" s="21" t="s">
        <v>23</v>
      </c>
      <c r="K8" s="21"/>
      <c r="L8" s="21"/>
      <c r="M8" s="16"/>
      <c r="N8" s="16"/>
    </row>
    <row r="9" spans="1:18" ht="56">
      <c r="A9" s="16" t="s">
        <v>1826</v>
      </c>
      <c r="B9" s="18"/>
      <c r="C9" s="15" t="s">
        <v>16</v>
      </c>
      <c r="D9" s="16" t="s">
        <v>1827</v>
      </c>
      <c r="E9" s="16" t="s">
        <v>1828</v>
      </c>
      <c r="F9" s="16" t="s">
        <v>1829</v>
      </c>
      <c r="G9" s="16" t="s">
        <v>1821</v>
      </c>
      <c r="H9" s="19" t="s">
        <v>21</v>
      </c>
      <c r="I9" s="18"/>
      <c r="J9" s="21" t="s">
        <v>23</v>
      </c>
      <c r="K9" s="21"/>
      <c r="L9" s="21"/>
      <c r="M9" s="18"/>
      <c r="N9" s="16"/>
    </row>
    <row r="10" spans="1:18" ht="56">
      <c r="A10" s="16" t="s">
        <v>1830</v>
      </c>
      <c r="B10" s="18"/>
      <c r="C10" s="15" t="s">
        <v>16</v>
      </c>
      <c r="D10" s="16" t="s">
        <v>1831</v>
      </c>
      <c r="E10" s="16" t="s">
        <v>1832</v>
      </c>
      <c r="F10" s="16" t="s">
        <v>1829</v>
      </c>
      <c r="G10" s="16" t="s">
        <v>1821</v>
      </c>
      <c r="H10" s="19" t="s">
        <v>21</v>
      </c>
      <c r="I10" s="18"/>
      <c r="J10" s="21" t="s">
        <v>23</v>
      </c>
      <c r="K10" s="21"/>
      <c r="L10" s="21"/>
      <c r="M10" s="18"/>
      <c r="N10" s="16"/>
    </row>
    <row r="11" spans="1:18" ht="56">
      <c r="A11" s="16" t="s">
        <v>1833</v>
      </c>
      <c r="B11" s="18"/>
      <c r="C11" s="15" t="s">
        <v>16</v>
      </c>
      <c r="D11" s="16" t="s">
        <v>1834</v>
      </c>
      <c r="E11" s="645" t="s">
        <v>1835</v>
      </c>
      <c r="F11" s="16" t="s">
        <v>1829</v>
      </c>
      <c r="G11" s="16" t="s">
        <v>1821</v>
      </c>
      <c r="H11" s="19" t="s">
        <v>21</v>
      </c>
      <c r="I11" s="18"/>
      <c r="J11" s="21" t="s">
        <v>23</v>
      </c>
      <c r="K11" s="21"/>
      <c r="L11" s="21"/>
      <c r="M11" s="18"/>
      <c r="N11" s="646"/>
      <c r="O11" s="647"/>
    </row>
    <row r="12" spans="1:18" ht="28">
      <c r="A12" s="16" t="s">
        <v>1836</v>
      </c>
      <c r="B12" s="18"/>
      <c r="C12" s="15" t="s">
        <v>16</v>
      </c>
      <c r="D12" s="18" t="s">
        <v>1837</v>
      </c>
      <c r="E12" s="16" t="s">
        <v>1824</v>
      </c>
      <c r="F12" s="16" t="s">
        <v>1838</v>
      </c>
      <c r="G12" s="16" t="s">
        <v>1839</v>
      </c>
      <c r="H12" s="19" t="s">
        <v>21</v>
      </c>
      <c r="I12" s="18"/>
      <c r="J12" s="21" t="s">
        <v>23</v>
      </c>
      <c r="K12" s="21"/>
      <c r="L12" s="21"/>
      <c r="M12" s="18"/>
      <c r="N12" s="16"/>
    </row>
    <row r="13" spans="1:18" ht="28">
      <c r="A13" s="16" t="s">
        <v>1840</v>
      </c>
      <c r="B13" s="18"/>
      <c r="C13" s="15" t="s">
        <v>16</v>
      </c>
      <c r="D13" s="16" t="s">
        <v>1339</v>
      </c>
      <c r="E13" s="16" t="s">
        <v>1824</v>
      </c>
      <c r="F13" s="16" t="s">
        <v>1841</v>
      </c>
      <c r="G13" s="16" t="s">
        <v>1842</v>
      </c>
      <c r="H13" s="19" t="s">
        <v>21</v>
      </c>
      <c r="I13" s="18"/>
      <c r="J13" s="21" t="s">
        <v>23</v>
      </c>
      <c r="K13" s="21"/>
      <c r="L13" s="21"/>
      <c r="M13" s="16"/>
      <c r="N13" s="16"/>
    </row>
    <row r="14" spans="1:18" ht="28">
      <c r="A14" s="16" t="s">
        <v>1843</v>
      </c>
      <c r="B14" s="18"/>
      <c r="C14" s="15" t="s">
        <v>16</v>
      </c>
      <c r="D14" s="16" t="s">
        <v>1844</v>
      </c>
      <c r="E14" s="16" t="s">
        <v>1824</v>
      </c>
      <c r="F14" s="16" t="s">
        <v>1845</v>
      </c>
      <c r="G14" s="16" t="s">
        <v>1839</v>
      </c>
      <c r="H14" s="19" t="s">
        <v>21</v>
      </c>
      <c r="I14" s="18"/>
      <c r="J14" s="21" t="s">
        <v>23</v>
      </c>
      <c r="K14" s="21"/>
      <c r="L14" s="21"/>
      <c r="M14" s="16"/>
      <c r="N14" s="16"/>
    </row>
    <row r="15" spans="1:18" ht="56">
      <c r="A15" s="16" t="s">
        <v>1846</v>
      </c>
      <c r="B15" s="18"/>
      <c r="C15" s="15" t="s">
        <v>16</v>
      </c>
      <c r="D15" s="16" t="s">
        <v>1847</v>
      </c>
      <c r="E15" s="16" t="s">
        <v>1848</v>
      </c>
      <c r="F15" s="16" t="s">
        <v>1849</v>
      </c>
      <c r="G15" s="16" t="s">
        <v>1842</v>
      </c>
      <c r="H15" s="19" t="s">
        <v>21</v>
      </c>
      <c r="I15" s="18"/>
      <c r="J15" s="21" t="s">
        <v>23</v>
      </c>
      <c r="K15" s="21"/>
      <c r="L15" s="21"/>
      <c r="M15" s="16"/>
      <c r="N15" s="16"/>
    </row>
    <row r="16" spans="1:18" ht="56">
      <c r="A16" s="16" t="s">
        <v>1850</v>
      </c>
      <c r="B16" s="18"/>
      <c r="C16" s="100" t="s">
        <v>1284</v>
      </c>
      <c r="D16" s="100" t="s">
        <v>1851</v>
      </c>
      <c r="E16" s="100" t="s">
        <v>1334</v>
      </c>
      <c r="F16" s="100" t="s">
        <v>1852</v>
      </c>
      <c r="G16" s="100" t="s">
        <v>1853</v>
      </c>
      <c r="H16" s="118" t="s">
        <v>21</v>
      </c>
      <c r="I16" s="117" t="s">
        <v>22</v>
      </c>
      <c r="J16" s="37" t="s">
        <v>1289</v>
      </c>
      <c r="K16" s="37" t="s">
        <v>416</v>
      </c>
      <c r="L16" s="37"/>
      <c r="M16" s="37" t="s">
        <v>23</v>
      </c>
      <c r="N16" s="37"/>
      <c r="O16" s="37"/>
      <c r="P16" s="37"/>
      <c r="Q16" s="37"/>
      <c r="R16" s="100"/>
    </row>
    <row r="17" spans="1:15" ht="42">
      <c r="A17" s="16" t="s">
        <v>1854</v>
      </c>
      <c r="B17" s="18"/>
      <c r="C17" s="15" t="s">
        <v>16</v>
      </c>
      <c r="D17" s="16" t="s">
        <v>1855</v>
      </c>
      <c r="E17" s="16" t="s">
        <v>1848</v>
      </c>
      <c r="F17" s="16" t="s">
        <v>1856</v>
      </c>
      <c r="G17" s="16" t="s">
        <v>1842</v>
      </c>
      <c r="H17" s="19" t="s">
        <v>21</v>
      </c>
      <c r="I17" s="18"/>
      <c r="J17" s="21"/>
      <c r="K17" s="21" t="s">
        <v>23</v>
      </c>
      <c r="L17" s="21"/>
      <c r="M17" s="16"/>
      <c r="N17" s="16"/>
    </row>
    <row r="18" spans="1:15" ht="28">
      <c r="A18" s="16" t="s">
        <v>1857</v>
      </c>
      <c r="B18" s="15"/>
      <c r="C18" s="15" t="s">
        <v>16</v>
      </c>
      <c r="D18" s="16" t="s">
        <v>1858</v>
      </c>
      <c r="E18" s="16" t="s">
        <v>1859</v>
      </c>
      <c r="F18" s="16" t="s">
        <v>1860</v>
      </c>
      <c r="G18" s="16" t="s">
        <v>1861</v>
      </c>
      <c r="H18" s="16" t="s">
        <v>21</v>
      </c>
      <c r="I18" s="648"/>
      <c r="J18" s="21" t="s">
        <v>23</v>
      </c>
      <c r="K18" s="21"/>
      <c r="L18" s="21"/>
      <c r="M18" s="16"/>
      <c r="N18" s="16"/>
    </row>
    <row r="19" spans="1:15" ht="61.5" customHeight="1">
      <c r="A19" s="16" t="s">
        <v>1862</v>
      </c>
      <c r="B19" s="15"/>
      <c r="C19" s="15" t="s">
        <v>16</v>
      </c>
      <c r="D19" s="18" t="s">
        <v>1863</v>
      </c>
      <c r="E19" s="18" t="s">
        <v>1824</v>
      </c>
      <c r="F19" s="16" t="s">
        <v>1864</v>
      </c>
      <c r="G19" s="16" t="s">
        <v>1842</v>
      </c>
      <c r="H19" s="16"/>
      <c r="I19" s="18"/>
      <c r="J19" s="21"/>
      <c r="K19" s="21" t="s">
        <v>23</v>
      </c>
      <c r="L19" s="21"/>
      <c r="M19" s="21"/>
      <c r="N19" s="646"/>
      <c r="O19" s="647"/>
    </row>
    <row r="20" spans="1:15" ht="42">
      <c r="A20" s="16" t="s">
        <v>1865</v>
      </c>
      <c r="B20" s="15"/>
      <c r="C20" s="15" t="s">
        <v>16</v>
      </c>
      <c r="D20" s="18" t="s">
        <v>1866</v>
      </c>
      <c r="E20" s="18" t="s">
        <v>1867</v>
      </c>
      <c r="F20" s="18"/>
      <c r="G20" s="16" t="s">
        <v>1861</v>
      </c>
      <c r="H20" s="16"/>
      <c r="I20" s="18"/>
      <c r="J20" s="21"/>
      <c r="K20" s="21" t="s">
        <v>23</v>
      </c>
      <c r="L20" s="21"/>
      <c r="M20" s="18"/>
      <c r="N20" s="646"/>
      <c r="O20" s="647"/>
    </row>
    <row r="21" spans="1:15" ht="56">
      <c r="A21" s="16" t="s">
        <v>1868</v>
      </c>
      <c r="B21" s="15"/>
      <c r="C21" s="15" t="s">
        <v>16</v>
      </c>
      <c r="D21" s="16" t="s">
        <v>1869</v>
      </c>
      <c r="E21" s="18" t="s">
        <v>1870</v>
      </c>
      <c r="F21" s="18" t="s">
        <v>1871</v>
      </c>
      <c r="G21" s="16" t="s">
        <v>1861</v>
      </c>
      <c r="H21" s="16" t="s">
        <v>21</v>
      </c>
      <c r="I21" s="16"/>
      <c r="J21" s="21"/>
      <c r="K21" s="21" t="s">
        <v>23</v>
      </c>
      <c r="L21" s="21"/>
      <c r="M21" s="21"/>
      <c r="N21" s="646"/>
      <c r="O21" s="647"/>
    </row>
    <row r="22" spans="1:15" ht="112">
      <c r="A22" s="16" t="s">
        <v>1872</v>
      </c>
      <c r="B22" s="18"/>
      <c r="C22" s="15" t="s">
        <v>16</v>
      </c>
      <c r="D22" s="16" t="s">
        <v>1873</v>
      </c>
      <c r="E22" s="16" t="s">
        <v>1874</v>
      </c>
      <c r="F22" s="16" t="s">
        <v>1875</v>
      </c>
      <c r="G22" s="16" t="s">
        <v>1876</v>
      </c>
      <c r="H22" s="19" t="s">
        <v>21</v>
      </c>
      <c r="I22" s="18"/>
      <c r="J22" s="21"/>
      <c r="K22" s="21" t="s">
        <v>23</v>
      </c>
      <c r="L22" s="21"/>
      <c r="M22" s="16"/>
      <c r="N22" s="646"/>
      <c r="O22" s="647"/>
    </row>
    <row r="23" spans="1:15" ht="84">
      <c r="A23" s="16" t="s">
        <v>1877</v>
      </c>
      <c r="B23" s="18"/>
      <c r="C23" s="15" t="s">
        <v>16</v>
      </c>
      <c r="D23" s="16" t="s">
        <v>1878</v>
      </c>
      <c r="E23" s="16" t="s">
        <v>1879</v>
      </c>
      <c r="F23" s="16" t="s">
        <v>1880</v>
      </c>
      <c r="G23" s="16" t="s">
        <v>1876</v>
      </c>
      <c r="H23" s="19" t="s">
        <v>21</v>
      </c>
      <c r="I23" s="18"/>
      <c r="J23" s="649"/>
      <c r="K23" s="21" t="s">
        <v>23</v>
      </c>
      <c r="L23" s="21"/>
      <c r="M23" s="650"/>
      <c r="N23" s="16"/>
    </row>
    <row r="24" spans="1:15" ht="98">
      <c r="A24" s="651" t="s">
        <v>1881</v>
      </c>
      <c r="B24" s="18"/>
      <c r="C24" s="15" t="s">
        <v>16</v>
      </c>
      <c r="D24" s="16" t="s">
        <v>1878</v>
      </c>
      <c r="E24" s="16" t="s">
        <v>1879</v>
      </c>
      <c r="F24" s="16" t="s">
        <v>1882</v>
      </c>
      <c r="G24" s="16" t="s">
        <v>1876</v>
      </c>
      <c r="H24" s="19" t="s">
        <v>21</v>
      </c>
      <c r="I24" s="18"/>
      <c r="J24" s="21"/>
      <c r="K24" s="21" t="s">
        <v>23</v>
      </c>
      <c r="L24" s="21"/>
      <c r="M24" s="16"/>
      <c r="N24" s="16"/>
    </row>
    <row r="25" spans="1:15" ht="42">
      <c r="A25" s="16" t="s">
        <v>1883</v>
      </c>
      <c r="B25" s="18"/>
      <c r="C25" s="15" t="s">
        <v>16</v>
      </c>
      <c r="D25" s="16" t="s">
        <v>1884</v>
      </c>
      <c r="E25" s="16" t="s">
        <v>1885</v>
      </c>
      <c r="F25" s="16" t="s">
        <v>1886</v>
      </c>
      <c r="G25" s="16" t="s">
        <v>1876</v>
      </c>
      <c r="H25" s="19" t="s">
        <v>415</v>
      </c>
      <c r="I25" s="18"/>
      <c r="J25" s="21"/>
      <c r="K25" s="21"/>
      <c r="L25" s="21" t="s">
        <v>23</v>
      </c>
      <c r="M25" s="16"/>
      <c r="N25" s="16"/>
    </row>
    <row r="26" spans="1:15" ht="42">
      <c r="A26" s="16" t="s">
        <v>1887</v>
      </c>
      <c r="B26" s="18"/>
      <c r="C26" s="15" t="s">
        <v>16</v>
      </c>
      <c r="D26" s="16" t="s">
        <v>1888</v>
      </c>
      <c r="E26" s="16" t="s">
        <v>1885</v>
      </c>
      <c r="F26" s="16" t="s">
        <v>1886</v>
      </c>
      <c r="G26" s="16" t="s">
        <v>1876</v>
      </c>
      <c r="H26" s="19" t="s">
        <v>415</v>
      </c>
      <c r="I26" s="18"/>
      <c r="J26" s="21"/>
      <c r="K26" s="21"/>
      <c r="L26" s="21" t="s">
        <v>23</v>
      </c>
      <c r="M26" s="16"/>
      <c r="N26" s="16"/>
    </row>
    <row r="27" spans="1:15" ht="42">
      <c r="A27" s="646" t="s">
        <v>1889</v>
      </c>
      <c r="B27" s="652"/>
      <c r="C27" s="653" t="s">
        <v>16</v>
      </c>
      <c r="D27" s="646" t="s">
        <v>1890</v>
      </c>
      <c r="E27" s="646" t="s">
        <v>1891</v>
      </c>
      <c r="F27" s="646" t="s">
        <v>1892</v>
      </c>
      <c r="G27" s="646" t="s">
        <v>1893</v>
      </c>
      <c r="H27" s="654" t="s">
        <v>415</v>
      </c>
      <c r="I27" s="652"/>
      <c r="J27" s="655" t="s">
        <v>416</v>
      </c>
      <c r="K27" s="656"/>
      <c r="L27" s="656"/>
      <c r="M27" s="657" t="s">
        <v>1894</v>
      </c>
      <c r="N27" s="16"/>
    </row>
    <row r="28" spans="1:15" ht="56">
      <c r="A28" s="16" t="s">
        <v>1895</v>
      </c>
      <c r="B28" s="18"/>
      <c r="C28" s="15" t="s">
        <v>16</v>
      </c>
      <c r="D28" s="16" t="s">
        <v>1896</v>
      </c>
      <c r="E28" s="16" t="s">
        <v>1897</v>
      </c>
      <c r="F28" s="16" t="s">
        <v>1898</v>
      </c>
      <c r="G28" s="16" t="s">
        <v>1899</v>
      </c>
      <c r="H28" s="19" t="s">
        <v>21</v>
      </c>
      <c r="I28" s="18"/>
      <c r="J28" s="21" t="s">
        <v>23</v>
      </c>
      <c r="K28" s="21"/>
      <c r="L28" s="21"/>
      <c r="M28" s="18"/>
      <c r="N28" s="16"/>
    </row>
    <row r="29" spans="1:15" ht="56">
      <c r="A29" s="16" t="s">
        <v>1900</v>
      </c>
      <c r="B29" s="18"/>
      <c r="C29" s="15" t="s">
        <v>16</v>
      </c>
      <c r="D29" s="16" t="s">
        <v>1901</v>
      </c>
      <c r="E29" s="16" t="s">
        <v>1902</v>
      </c>
      <c r="F29" s="16" t="s">
        <v>1903</v>
      </c>
      <c r="G29" s="16" t="s">
        <v>1899</v>
      </c>
      <c r="H29" s="19" t="s">
        <v>21</v>
      </c>
      <c r="I29" s="18"/>
      <c r="J29" s="21" t="s">
        <v>23</v>
      </c>
      <c r="K29" s="21"/>
      <c r="L29" s="21"/>
      <c r="M29" s="18"/>
      <c r="N29" s="16"/>
    </row>
    <row r="30" spans="1:15" ht="56">
      <c r="A30" s="16" t="s">
        <v>1904</v>
      </c>
      <c r="B30" s="18"/>
      <c r="C30" s="15" t="s">
        <v>16</v>
      </c>
      <c r="D30" s="16" t="s">
        <v>1905</v>
      </c>
      <c r="E30" s="16" t="s">
        <v>1902</v>
      </c>
      <c r="F30" s="16" t="s">
        <v>1903</v>
      </c>
      <c r="G30" s="16" t="s">
        <v>1899</v>
      </c>
      <c r="H30" s="19" t="s">
        <v>21</v>
      </c>
      <c r="I30" s="18"/>
      <c r="J30" s="21" t="s">
        <v>23</v>
      </c>
      <c r="K30" s="21"/>
      <c r="L30" s="21"/>
      <c r="M30" s="18"/>
      <c r="N30" s="16"/>
    </row>
    <row r="31" spans="1:15" ht="70">
      <c r="A31" s="651" t="s">
        <v>1906</v>
      </c>
      <c r="B31" s="658"/>
      <c r="C31" s="659" t="s">
        <v>16</v>
      </c>
      <c r="D31" s="26" t="s">
        <v>1907</v>
      </c>
      <c r="E31" s="658" t="s">
        <v>1908</v>
      </c>
      <c r="F31" s="658" t="s">
        <v>1909</v>
      </c>
      <c r="G31" s="26" t="s">
        <v>1910</v>
      </c>
      <c r="H31" s="660" t="s">
        <v>21</v>
      </c>
      <c r="I31" s="658"/>
      <c r="J31" s="661"/>
      <c r="K31" s="21"/>
      <c r="L31" s="21" t="s">
        <v>23</v>
      </c>
      <c r="M31" s="662"/>
      <c r="N31" s="16" t="s">
        <v>1911</v>
      </c>
    </row>
    <row r="32" spans="1:15" ht="42">
      <c r="A32" s="651" t="s">
        <v>1912</v>
      </c>
      <c r="B32" s="658"/>
      <c r="C32" s="659" t="s">
        <v>16</v>
      </c>
      <c r="D32" s="26" t="s">
        <v>1913</v>
      </c>
      <c r="E32" s="658" t="s">
        <v>1908</v>
      </c>
      <c r="F32" s="658" t="s">
        <v>1914</v>
      </c>
      <c r="G32" s="26" t="s">
        <v>1915</v>
      </c>
      <c r="H32" s="660" t="s">
        <v>21</v>
      </c>
      <c r="I32" s="658"/>
      <c r="J32" s="661"/>
      <c r="K32" s="21"/>
      <c r="L32" s="21" t="s">
        <v>23</v>
      </c>
      <c r="M32" s="658"/>
      <c r="N32" s="16" t="s">
        <v>1916</v>
      </c>
    </row>
    <row r="33" spans="1:15" ht="42">
      <c r="A33" s="651" t="s">
        <v>1917</v>
      </c>
      <c r="B33" s="658"/>
      <c r="C33" s="659" t="s">
        <v>16</v>
      </c>
      <c r="D33" s="26" t="s">
        <v>1918</v>
      </c>
      <c r="E33" s="658" t="s">
        <v>1908</v>
      </c>
      <c r="F33" s="658" t="s">
        <v>1919</v>
      </c>
      <c r="G33" s="26" t="s">
        <v>1915</v>
      </c>
      <c r="H33" s="660" t="s">
        <v>21</v>
      </c>
      <c r="I33" s="658"/>
      <c r="J33" s="661"/>
      <c r="K33" s="21"/>
      <c r="L33" s="21" t="s">
        <v>23</v>
      </c>
      <c r="M33" s="658"/>
      <c r="N33" s="16" t="s">
        <v>1920</v>
      </c>
      <c r="O33" s="647"/>
    </row>
    <row r="34" spans="1:15" ht="56">
      <c r="A34" s="651" t="s">
        <v>1921</v>
      </c>
      <c r="B34" s="658"/>
      <c r="C34" s="659" t="s">
        <v>16</v>
      </c>
      <c r="D34" s="26" t="s">
        <v>1922</v>
      </c>
      <c r="E34" s="658" t="s">
        <v>1908</v>
      </c>
      <c r="F34" s="658" t="s">
        <v>1923</v>
      </c>
      <c r="G34" s="26" t="s">
        <v>1915</v>
      </c>
      <c r="H34" s="660" t="s">
        <v>415</v>
      </c>
      <c r="I34" s="658"/>
      <c r="J34" s="661" t="s">
        <v>184</v>
      </c>
      <c r="K34" s="21"/>
      <c r="L34" s="21" t="s">
        <v>64</v>
      </c>
      <c r="M34" s="658" t="s">
        <v>1924</v>
      </c>
      <c r="N34" s="16"/>
    </row>
    <row r="35" spans="1:15" ht="70">
      <c r="A35" s="651" t="s">
        <v>1925</v>
      </c>
      <c r="B35" s="658"/>
      <c r="C35" s="659" t="s">
        <v>16</v>
      </c>
      <c r="D35" s="26" t="s">
        <v>1926</v>
      </c>
      <c r="E35" s="658" t="s">
        <v>1908</v>
      </c>
      <c r="F35" s="658" t="s">
        <v>1927</v>
      </c>
      <c r="G35" s="26" t="s">
        <v>1910</v>
      </c>
      <c r="H35" s="660" t="s">
        <v>21</v>
      </c>
      <c r="I35" s="658"/>
      <c r="J35" s="661"/>
      <c r="K35" s="21"/>
      <c r="L35" s="21" t="s">
        <v>23</v>
      </c>
      <c r="M35" s="658"/>
      <c r="N35" s="16" t="s">
        <v>1911</v>
      </c>
    </row>
    <row r="36" spans="1:15" ht="56">
      <c r="A36" s="663" t="s">
        <v>1928</v>
      </c>
      <c r="B36" s="664"/>
      <c r="C36" s="665" t="s">
        <v>16</v>
      </c>
      <c r="D36" s="666" t="s">
        <v>1929</v>
      </c>
      <c r="E36" s="664" t="s">
        <v>1930</v>
      </c>
      <c r="F36" s="664" t="s">
        <v>1931</v>
      </c>
      <c r="G36" s="666" t="s">
        <v>1932</v>
      </c>
      <c r="H36" s="667" t="s">
        <v>21</v>
      </c>
      <c r="I36" s="664"/>
      <c r="J36" s="668" t="s">
        <v>184</v>
      </c>
      <c r="K36" s="656"/>
      <c r="L36" s="656"/>
      <c r="M36" s="664" t="s">
        <v>1933</v>
      </c>
      <c r="N36" s="16"/>
    </row>
    <row r="37" spans="1:15" ht="98">
      <c r="A37" s="669" t="s">
        <v>1934</v>
      </c>
      <c r="B37" s="670"/>
      <c r="C37" s="671" t="s">
        <v>16</v>
      </c>
      <c r="D37" s="672" t="s">
        <v>1935</v>
      </c>
      <c r="E37" s="670" t="s">
        <v>1936</v>
      </c>
      <c r="F37" s="672" t="s">
        <v>1937</v>
      </c>
      <c r="G37" s="672" t="s">
        <v>1938</v>
      </c>
      <c r="H37" s="673" t="s">
        <v>415</v>
      </c>
      <c r="I37" s="670"/>
      <c r="J37" s="674" t="s">
        <v>64</v>
      </c>
      <c r="K37" s="21"/>
      <c r="L37" s="21"/>
      <c r="M37" s="670" t="s">
        <v>1939</v>
      </c>
      <c r="N37" s="646"/>
      <c r="O37" s="647"/>
    </row>
    <row r="38" spans="1:15" ht="42">
      <c r="A38" s="675" t="s">
        <v>1940</v>
      </c>
      <c r="B38" s="676"/>
      <c r="C38" s="671" t="s">
        <v>16</v>
      </c>
      <c r="D38" s="675" t="s">
        <v>1941</v>
      </c>
      <c r="E38" s="676" t="s">
        <v>1824</v>
      </c>
      <c r="F38" s="677" t="s">
        <v>1942</v>
      </c>
      <c r="G38" s="675" t="s">
        <v>1943</v>
      </c>
      <c r="H38" s="678" t="s">
        <v>415</v>
      </c>
      <c r="I38" s="676"/>
      <c r="J38" s="679" t="s">
        <v>64</v>
      </c>
      <c r="K38" s="21"/>
      <c r="L38" s="21"/>
      <c r="M38" s="676" t="s">
        <v>1944</v>
      </c>
      <c r="N38" s="646"/>
      <c r="O38" s="647"/>
    </row>
  </sheetData>
  <customSheetViews>
    <customSheetView guid="{70AC2C18-9AC4-4C19-9CA7-489C53F9721F}" hiddenRows="1" hiddenColumns="1">
      <pageMargins left="0.7" right="0.7" top="0.75" bottom="0.75" header="0.3" footer="0.3"/>
    </customSheetView>
  </customSheetViews>
  <mergeCells count="12">
    <mergeCell ref="M1:M2"/>
    <mergeCell ref="N1:N2"/>
    <mergeCell ref="F1:F2"/>
    <mergeCell ref="J1:K1"/>
    <mergeCell ref="A1:A2"/>
    <mergeCell ref="B1:B2"/>
    <mergeCell ref="C1:C2"/>
    <mergeCell ref="D1:D2"/>
    <mergeCell ref="E1:E2"/>
    <mergeCell ref="G1:G2"/>
    <mergeCell ref="H1:H2"/>
    <mergeCell ref="I1:I2"/>
  </mergeCells>
  <phoneticPr fontId="106" type="noConversion"/>
  <dataValidations count="6">
    <dataValidation type="list" allowBlank="1" showInputMessage="1" showErrorMessage="1" sqref="M1:M1048576 N16:Q16 L3:L38 J1:K1048576" xr:uid="{00000000-0002-0000-0700-000000000000}">
      <formula1>"PASS,FAIL,NT,BLOCK,"</formula1>
    </dataValidation>
    <dataValidation type="list" showInputMessage="1" showErrorMessage="1" sqref="C3:C15 C17:C38" xr:uid="{00000000-0002-0000-0700-000003000000}">
      <formula1>"Basicfunction,Cross-module,Pressure,Performance"</formula1>
    </dataValidation>
    <dataValidation type="list" allowBlank="1" showInputMessage="1" showErrorMessage="1" sqref="C16" xr:uid="{00000000-0002-0000-0700-000004000000}">
      <formula1>"Basicfunction,Cross-module,Boundary,Pressure,Performance"</formula1>
    </dataValidation>
    <dataValidation type="list" allowBlank="1" showInputMessage="1" showErrorMessage="1" sqref="H3:H17 H22:H38" xr:uid="{00000000-0002-0000-0700-000006000000}">
      <formula1>"P0,P1,P2"</formula1>
    </dataValidation>
    <dataValidation type="list" showInputMessage="1" showErrorMessage="1" sqref="H18:H21" xr:uid="{00000000-0002-0000-0700-000007000000}">
      <formula1>"P0,P1,P2"</formula1>
    </dataValidation>
    <dataValidation type="list" allowBlank="1" showInputMessage="1" showErrorMessage="1" sqref="I16" xr:uid="{00000000-0002-0000-0700-000009000000}">
      <formula1>"Yes,No"</formula1>
    </dataValidation>
  </dataValidation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存储场景"/>
  <dimension ref="A1:O32"/>
  <sheetViews>
    <sheetView workbookViewId="0">
      <pane xSplit="14" ySplit="2" topLeftCell="O3" activePane="bottomRight" state="frozen"/>
      <selection pane="topRight"/>
      <selection pane="bottomLeft"/>
      <selection pane="bottomRight" activeCell="O3" sqref="O3"/>
    </sheetView>
  </sheetViews>
  <sheetFormatPr defaultRowHeight="14"/>
  <cols>
    <col min="1" max="1" width="27" style="35" customWidth="1"/>
    <col min="2" max="3" width="13.6328125" style="35" customWidth="1"/>
    <col min="4" max="4" width="27.08984375" style="162" customWidth="1"/>
    <col min="5" max="5" width="33" style="162" customWidth="1"/>
    <col min="6" max="6" width="60.453125" style="35" customWidth="1"/>
    <col min="7" max="7" width="31.81640625" style="35" customWidth="1"/>
    <col min="8" max="8" width="13.6328125" style="35" customWidth="1"/>
    <col min="9" max="9" width="13.08984375" style="35" customWidth="1"/>
    <col min="10" max="10" width="18.6328125" style="35" customWidth="1"/>
    <col min="11" max="13" width="19.26953125" style="35" customWidth="1"/>
    <col min="14" max="14" width="29.7265625" style="35" customWidth="1"/>
    <col min="15" max="15" width="24.90625" style="35" customWidth="1"/>
  </cols>
  <sheetData>
    <row r="1" spans="1:15" ht="33" customHeight="1">
      <c r="A1" s="1007" t="s">
        <v>0</v>
      </c>
      <c r="B1" s="1007" t="s">
        <v>1</v>
      </c>
      <c r="C1" s="1007" t="s">
        <v>2</v>
      </c>
      <c r="D1" s="1008" t="s">
        <v>3</v>
      </c>
      <c r="E1" s="1011" t="s">
        <v>4</v>
      </c>
      <c r="F1" s="1006" t="s">
        <v>5</v>
      </c>
      <c r="G1" s="1006" t="s">
        <v>6</v>
      </c>
      <c r="H1" s="1007" t="s">
        <v>7</v>
      </c>
      <c r="I1" s="1008" t="s">
        <v>8</v>
      </c>
      <c r="J1" s="1009" t="s">
        <v>9</v>
      </c>
      <c r="K1" s="990"/>
      <c r="L1" s="990"/>
      <c r="M1" s="1010"/>
      <c r="N1" s="1007" t="s">
        <v>10</v>
      </c>
      <c r="O1" s="93"/>
    </row>
    <row r="2" spans="1:15" ht="42">
      <c r="A2" s="987"/>
      <c r="B2" s="987"/>
      <c r="C2" s="987"/>
      <c r="D2" s="987"/>
      <c r="E2" s="987"/>
      <c r="F2" s="987"/>
      <c r="G2" s="987"/>
      <c r="H2" s="987"/>
      <c r="I2" s="987"/>
      <c r="J2" s="94" t="s">
        <v>298</v>
      </c>
      <c r="K2" s="95" t="s">
        <v>299</v>
      </c>
      <c r="L2" s="96" t="s">
        <v>300</v>
      </c>
      <c r="M2" s="3" t="s">
        <v>14</v>
      </c>
      <c r="N2" s="987"/>
    </row>
    <row r="3" spans="1:15" ht="126">
      <c r="A3" s="97" t="s">
        <v>301</v>
      </c>
      <c r="B3" s="98"/>
      <c r="C3" s="99" t="s">
        <v>16</v>
      </c>
      <c r="D3" s="100" t="s">
        <v>302</v>
      </c>
      <c r="E3" s="101" t="s">
        <v>303</v>
      </c>
      <c r="F3" s="102" t="s">
        <v>304</v>
      </c>
      <c r="G3" s="102" t="s">
        <v>305</v>
      </c>
      <c r="H3" s="103" t="s">
        <v>21</v>
      </c>
      <c r="I3" s="103" t="s">
        <v>22</v>
      </c>
      <c r="J3" s="104" t="s">
        <v>23</v>
      </c>
      <c r="K3" s="76"/>
      <c r="L3" s="76"/>
      <c r="M3" s="76"/>
      <c r="N3" s="99"/>
      <c r="O3" s="105"/>
    </row>
    <row r="4" spans="1:15" ht="70">
      <c r="A4" s="99" t="s">
        <v>307</v>
      </c>
      <c r="B4" s="98"/>
      <c r="C4" s="99" t="s">
        <v>16</v>
      </c>
      <c r="D4" s="106" t="s">
        <v>308</v>
      </c>
      <c r="E4" s="101" t="s">
        <v>303</v>
      </c>
      <c r="F4" s="107" t="s">
        <v>309</v>
      </c>
      <c r="G4" s="108" t="s">
        <v>310</v>
      </c>
      <c r="H4" s="103" t="s">
        <v>21</v>
      </c>
      <c r="I4" s="103" t="s">
        <v>22</v>
      </c>
      <c r="J4" s="104" t="s">
        <v>23</v>
      </c>
      <c r="K4" s="76"/>
      <c r="L4" s="76"/>
      <c r="M4" s="76"/>
      <c r="N4" s="98"/>
    </row>
    <row r="5" spans="1:15" ht="196">
      <c r="A5" s="99" t="s">
        <v>311</v>
      </c>
      <c r="B5" s="98"/>
      <c r="C5" s="99" t="s">
        <v>16</v>
      </c>
      <c r="D5" s="108" t="s">
        <v>3176</v>
      </c>
      <c r="E5" s="101" t="s">
        <v>303</v>
      </c>
      <c r="F5" s="107" t="s">
        <v>312</v>
      </c>
      <c r="G5" s="99" t="s">
        <v>313</v>
      </c>
      <c r="H5" s="103" t="s">
        <v>21</v>
      </c>
      <c r="I5" s="109" t="s">
        <v>22</v>
      </c>
      <c r="J5" s="104" t="s">
        <v>23</v>
      </c>
      <c r="K5" s="76"/>
      <c r="L5" s="76"/>
      <c r="M5" s="76"/>
      <c r="N5" s="98" t="s">
        <v>314</v>
      </c>
    </row>
    <row r="6" spans="1:15" ht="210">
      <c r="A6" s="99" t="s">
        <v>315</v>
      </c>
      <c r="B6" s="98"/>
      <c r="C6" s="99" t="s">
        <v>16</v>
      </c>
      <c r="D6" s="107" t="s">
        <v>3177</v>
      </c>
      <c r="E6" s="101" t="s">
        <v>303</v>
      </c>
      <c r="F6" s="107" t="s">
        <v>316</v>
      </c>
      <c r="G6" s="110" t="s">
        <v>317</v>
      </c>
      <c r="H6" s="103" t="s">
        <v>21</v>
      </c>
      <c r="I6" s="103" t="s">
        <v>22</v>
      </c>
      <c r="J6" s="111" t="s">
        <v>23</v>
      </c>
      <c r="K6" s="76"/>
      <c r="L6" s="76"/>
      <c r="M6" s="76"/>
      <c r="N6" s="110"/>
    </row>
    <row r="7" spans="1:15" ht="210">
      <c r="A7" s="99" t="s">
        <v>318</v>
      </c>
      <c r="B7" s="98"/>
      <c r="C7" s="99" t="s">
        <v>16</v>
      </c>
      <c r="D7" s="112" t="s">
        <v>319</v>
      </c>
      <c r="E7" s="101" t="s">
        <v>303</v>
      </c>
      <c r="F7" s="112" t="s">
        <v>320</v>
      </c>
      <c r="G7" s="99" t="s">
        <v>321</v>
      </c>
      <c r="H7" s="103" t="s">
        <v>21</v>
      </c>
      <c r="I7" s="109" t="s">
        <v>22</v>
      </c>
      <c r="J7" s="104" t="s">
        <v>23</v>
      </c>
      <c r="K7" s="76"/>
      <c r="L7" s="76"/>
      <c r="M7" s="76"/>
      <c r="N7" s="113"/>
    </row>
    <row r="8" spans="1:15" ht="210">
      <c r="A8" s="99" t="s">
        <v>322</v>
      </c>
      <c r="B8" s="98"/>
      <c r="C8" s="99" t="s">
        <v>16</v>
      </c>
      <c r="D8" s="107" t="s">
        <v>3178</v>
      </c>
      <c r="E8" s="101" t="s">
        <v>303</v>
      </c>
      <c r="F8" s="112" t="s">
        <v>323</v>
      </c>
      <c r="G8" s="99" t="s">
        <v>324</v>
      </c>
      <c r="H8" s="103" t="s">
        <v>21</v>
      </c>
      <c r="I8" s="109" t="s">
        <v>22</v>
      </c>
      <c r="J8" s="104" t="s">
        <v>23</v>
      </c>
      <c r="K8" s="76"/>
      <c r="L8" s="76"/>
      <c r="M8" s="76"/>
      <c r="N8" s="99"/>
    </row>
    <row r="9" spans="1:15" ht="70">
      <c r="A9" s="99" t="s">
        <v>325</v>
      </c>
      <c r="B9" s="98"/>
      <c r="C9" s="99" t="s">
        <v>16</v>
      </c>
      <c r="D9" s="107" t="s">
        <v>326</v>
      </c>
      <c r="E9" s="101" t="s">
        <v>303</v>
      </c>
      <c r="F9" s="107" t="s">
        <v>327</v>
      </c>
      <c r="G9" s="99" t="s">
        <v>328</v>
      </c>
      <c r="H9" s="103" t="s">
        <v>21</v>
      </c>
      <c r="I9" s="109" t="s">
        <v>22</v>
      </c>
      <c r="J9" s="104" t="s">
        <v>23</v>
      </c>
      <c r="K9" s="76"/>
      <c r="L9" s="76"/>
      <c r="M9" s="76"/>
      <c r="N9" s="114"/>
    </row>
    <row r="10" spans="1:15" ht="70">
      <c r="A10" s="99" t="s">
        <v>329</v>
      </c>
      <c r="B10" s="98"/>
      <c r="C10" s="99" t="s">
        <v>16</v>
      </c>
      <c r="D10" s="107" t="s">
        <v>330</v>
      </c>
      <c r="E10" s="101" t="s">
        <v>303</v>
      </c>
      <c r="F10" s="107" t="s">
        <v>331</v>
      </c>
      <c r="G10" s="99" t="s">
        <v>328</v>
      </c>
      <c r="H10" s="103" t="s">
        <v>21</v>
      </c>
      <c r="I10" s="109" t="s">
        <v>22</v>
      </c>
      <c r="J10" s="104" t="s">
        <v>23</v>
      </c>
      <c r="K10" s="76"/>
      <c r="L10" s="76"/>
      <c r="M10" s="76"/>
      <c r="N10" s="98"/>
    </row>
    <row r="11" spans="1:15" ht="70">
      <c r="A11" s="99" t="s">
        <v>332</v>
      </c>
      <c r="B11" s="98"/>
      <c r="C11" s="99" t="s">
        <v>16</v>
      </c>
      <c r="D11" s="112" t="s">
        <v>333</v>
      </c>
      <c r="E11" s="101" t="s">
        <v>303</v>
      </c>
      <c r="F11" s="107" t="s">
        <v>334</v>
      </c>
      <c r="G11" s="99" t="s">
        <v>335</v>
      </c>
      <c r="H11" s="103" t="s">
        <v>21</v>
      </c>
      <c r="I11" s="109" t="s">
        <v>22</v>
      </c>
      <c r="J11" s="104" t="s">
        <v>23</v>
      </c>
      <c r="K11" s="76"/>
      <c r="L11" s="76"/>
      <c r="M11" s="76"/>
      <c r="N11" s="114"/>
    </row>
    <row r="12" spans="1:15" ht="140">
      <c r="A12" s="115" t="s">
        <v>336</v>
      </c>
      <c r="B12" s="37"/>
      <c r="C12" s="116" t="s">
        <v>16</v>
      </c>
      <c r="D12" s="59" t="s">
        <v>337</v>
      </c>
      <c r="E12" s="101" t="s">
        <v>303</v>
      </c>
      <c r="F12" s="59" t="s">
        <v>338</v>
      </c>
      <c r="G12" s="100" t="s">
        <v>339</v>
      </c>
      <c r="H12" s="117" t="s">
        <v>21</v>
      </c>
      <c r="I12" s="118"/>
      <c r="J12" s="76" t="s">
        <v>23</v>
      </c>
      <c r="K12" s="76"/>
      <c r="L12" s="76"/>
      <c r="M12" s="76"/>
      <c r="N12" s="37"/>
      <c r="O12" s="119"/>
    </row>
    <row r="13" spans="1:15" ht="70">
      <c r="A13" s="115" t="s">
        <v>340</v>
      </c>
      <c r="B13" s="37"/>
      <c r="C13" s="116" t="s">
        <v>16</v>
      </c>
      <c r="D13" s="59" t="s">
        <v>341</v>
      </c>
      <c r="E13" s="101" t="s">
        <v>303</v>
      </c>
      <c r="F13" s="59" t="s">
        <v>342</v>
      </c>
      <c r="G13" s="100" t="s">
        <v>343</v>
      </c>
      <c r="H13" s="117" t="s">
        <v>21</v>
      </c>
      <c r="I13" s="118"/>
      <c r="J13" s="76" t="s">
        <v>23</v>
      </c>
      <c r="K13" s="76"/>
      <c r="L13" s="76"/>
      <c r="M13" s="76"/>
      <c r="N13" s="37"/>
      <c r="O13" s="119"/>
    </row>
    <row r="14" spans="1:15" ht="98">
      <c r="A14" s="115" t="s">
        <v>344</v>
      </c>
      <c r="B14" s="37"/>
      <c r="C14" s="116" t="s">
        <v>16</v>
      </c>
      <c r="D14" s="59" t="s">
        <v>345</v>
      </c>
      <c r="E14" s="59" t="s">
        <v>346</v>
      </c>
      <c r="F14" s="59" t="s">
        <v>347</v>
      </c>
      <c r="G14" s="100" t="s">
        <v>348</v>
      </c>
      <c r="H14" s="117" t="s">
        <v>21</v>
      </c>
      <c r="I14" s="118"/>
      <c r="J14" s="76" t="s">
        <v>23</v>
      </c>
      <c r="K14" s="76"/>
      <c r="L14" s="76"/>
      <c r="M14" s="76"/>
      <c r="N14" s="37" t="s">
        <v>349</v>
      </c>
      <c r="O14" s="119"/>
    </row>
    <row r="15" spans="1:15" ht="210">
      <c r="A15" s="115" t="s">
        <v>350</v>
      </c>
      <c r="B15" s="37"/>
      <c r="C15" s="116" t="s">
        <v>16</v>
      </c>
      <c r="D15" s="59" t="s">
        <v>351</v>
      </c>
      <c r="E15" s="59" t="s">
        <v>352</v>
      </c>
      <c r="F15" s="59" t="s">
        <v>353</v>
      </c>
      <c r="G15" s="100" t="s">
        <v>354</v>
      </c>
      <c r="H15" s="117" t="s">
        <v>21</v>
      </c>
      <c r="I15" s="118"/>
      <c r="J15" s="76" t="s">
        <v>23</v>
      </c>
      <c r="K15" s="76"/>
      <c r="L15" s="76"/>
      <c r="M15" s="76"/>
      <c r="N15" s="37" t="s">
        <v>355</v>
      </c>
      <c r="O15" s="119"/>
    </row>
    <row r="16" spans="1:15" ht="126">
      <c r="A16" s="115" t="s">
        <v>356</v>
      </c>
      <c r="B16" s="37"/>
      <c r="C16" s="116" t="s">
        <v>16</v>
      </c>
      <c r="D16" s="59" t="s">
        <v>357</v>
      </c>
      <c r="E16" s="59" t="s">
        <v>358</v>
      </c>
      <c r="F16" s="59" t="s">
        <v>359</v>
      </c>
      <c r="G16" s="100" t="s">
        <v>360</v>
      </c>
      <c r="H16" s="117" t="s">
        <v>21</v>
      </c>
      <c r="I16" s="118"/>
      <c r="J16" s="76" t="s">
        <v>23</v>
      </c>
      <c r="K16" s="76"/>
      <c r="L16" s="76"/>
      <c r="M16" s="76"/>
      <c r="N16" s="37"/>
      <c r="O16" s="119"/>
    </row>
    <row r="17" spans="1:15" ht="98">
      <c r="A17" s="115" t="s">
        <v>361</v>
      </c>
      <c r="B17" s="37"/>
      <c r="C17" s="116" t="s">
        <v>16</v>
      </c>
      <c r="D17" s="59" t="s">
        <v>362</v>
      </c>
      <c r="E17" s="59" t="s">
        <v>363</v>
      </c>
      <c r="F17" s="59" t="s">
        <v>364</v>
      </c>
      <c r="G17" s="100" t="s">
        <v>365</v>
      </c>
      <c r="H17" s="117" t="s">
        <v>21</v>
      </c>
      <c r="I17" s="118"/>
      <c r="J17" s="76" t="s">
        <v>23</v>
      </c>
      <c r="K17" s="76"/>
      <c r="L17" s="76"/>
      <c r="M17" s="76"/>
      <c r="N17" s="37"/>
      <c r="O17" s="119"/>
    </row>
    <row r="18" spans="1:15" ht="112">
      <c r="A18" s="115" t="s">
        <v>366</v>
      </c>
      <c r="B18" s="37"/>
      <c r="C18" s="116" t="s">
        <v>16</v>
      </c>
      <c r="D18" s="59" t="s">
        <v>367</v>
      </c>
      <c r="E18" s="101" t="s">
        <v>303</v>
      </c>
      <c r="F18" s="59" t="s">
        <v>368</v>
      </c>
      <c r="G18" s="100" t="s">
        <v>369</v>
      </c>
      <c r="H18" s="117" t="s">
        <v>21</v>
      </c>
      <c r="I18" s="118"/>
      <c r="J18" s="76" t="s">
        <v>23</v>
      </c>
      <c r="K18" s="76"/>
      <c r="L18" s="76"/>
      <c r="M18" s="76"/>
      <c r="N18" s="37"/>
      <c r="O18" s="119"/>
    </row>
    <row r="19" spans="1:15" ht="224">
      <c r="A19" s="115" t="s">
        <v>370</v>
      </c>
      <c r="B19" s="37"/>
      <c r="C19" s="116" t="s">
        <v>16</v>
      </c>
      <c r="D19" s="59" t="s">
        <v>371</v>
      </c>
      <c r="E19" s="101" t="s">
        <v>303</v>
      </c>
      <c r="F19" s="59" t="s">
        <v>372</v>
      </c>
      <c r="G19" s="100" t="s">
        <v>373</v>
      </c>
      <c r="H19" s="117" t="s">
        <v>21</v>
      </c>
      <c r="I19" s="118"/>
      <c r="J19" s="76"/>
      <c r="K19" s="76" t="s">
        <v>23</v>
      </c>
      <c r="L19" s="76"/>
      <c r="M19" s="76"/>
      <c r="N19" s="59" t="s">
        <v>374</v>
      </c>
      <c r="O19" s="119"/>
    </row>
    <row r="20" spans="1:15" ht="168">
      <c r="A20" s="115" t="s">
        <v>375</v>
      </c>
      <c r="B20" s="37"/>
      <c r="C20" s="116" t="s">
        <v>16</v>
      </c>
      <c r="D20" s="59" t="s">
        <v>376</v>
      </c>
      <c r="E20" s="59" t="s">
        <v>377</v>
      </c>
      <c r="F20" s="59" t="s">
        <v>378</v>
      </c>
      <c r="G20" s="100" t="s">
        <v>369</v>
      </c>
      <c r="H20" s="117" t="s">
        <v>21</v>
      </c>
      <c r="I20" s="118"/>
      <c r="J20" s="76"/>
      <c r="K20" s="76"/>
      <c r="L20" s="76"/>
      <c r="M20" s="76" t="s">
        <v>23</v>
      </c>
      <c r="N20" s="59" t="s">
        <v>379</v>
      </c>
      <c r="O20" s="119"/>
    </row>
    <row r="21" spans="1:15" ht="168">
      <c r="A21" s="115" t="s">
        <v>380</v>
      </c>
      <c r="B21" s="37"/>
      <c r="C21" s="116" t="s">
        <v>16</v>
      </c>
      <c r="D21" s="59" t="s">
        <v>381</v>
      </c>
      <c r="E21" s="59" t="s">
        <v>382</v>
      </c>
      <c r="F21" s="59" t="s">
        <v>383</v>
      </c>
      <c r="G21" s="100" t="s">
        <v>369</v>
      </c>
      <c r="H21" s="117" t="s">
        <v>21</v>
      </c>
      <c r="I21" s="118"/>
      <c r="J21" s="76"/>
      <c r="K21" s="76"/>
      <c r="L21" s="76"/>
      <c r="M21" s="76" t="s">
        <v>23</v>
      </c>
      <c r="N21" s="59" t="s">
        <v>384</v>
      </c>
      <c r="O21" s="119"/>
    </row>
    <row r="22" spans="1:15" ht="168">
      <c r="A22" s="115" t="s">
        <v>385</v>
      </c>
      <c r="B22" s="120"/>
      <c r="C22" s="116" t="s">
        <v>16</v>
      </c>
      <c r="D22" s="121" t="s">
        <v>386</v>
      </c>
      <c r="E22" s="122" t="s">
        <v>387</v>
      </c>
      <c r="F22" s="123" t="s">
        <v>378</v>
      </c>
      <c r="G22" s="124" t="s">
        <v>369</v>
      </c>
      <c r="H22" s="117" t="s">
        <v>21</v>
      </c>
      <c r="I22" s="125"/>
      <c r="J22" s="76"/>
      <c r="K22" s="126"/>
      <c r="L22" s="126"/>
      <c r="M22" s="126" t="s">
        <v>23</v>
      </c>
      <c r="N22" s="59" t="s">
        <v>384</v>
      </c>
      <c r="O22" s="119"/>
    </row>
    <row r="23" spans="1:15" ht="409.5">
      <c r="A23" s="115" t="s">
        <v>388</v>
      </c>
      <c r="B23" s="127"/>
      <c r="C23" s="116" t="s">
        <v>16</v>
      </c>
      <c r="D23" s="128" t="s">
        <v>389</v>
      </c>
      <c r="E23" s="101" t="s">
        <v>303</v>
      </c>
      <c r="F23" s="128" t="s">
        <v>3179</v>
      </c>
      <c r="G23" s="129" t="s">
        <v>390</v>
      </c>
      <c r="H23" s="117" t="s">
        <v>21</v>
      </c>
      <c r="I23" s="130"/>
      <c r="J23" s="84"/>
      <c r="K23" s="126" t="s">
        <v>23</v>
      </c>
      <c r="L23" s="126"/>
      <c r="M23" s="126"/>
      <c r="N23" s="127"/>
      <c r="O23" s="131"/>
    </row>
    <row r="24" spans="1:15" ht="182">
      <c r="A24" s="115" t="s">
        <v>391</v>
      </c>
      <c r="B24" s="127"/>
      <c r="C24" s="116" t="s">
        <v>16</v>
      </c>
      <c r="D24" s="132" t="s">
        <v>392</v>
      </c>
      <c r="E24" s="132" t="s">
        <v>393</v>
      </c>
      <c r="F24" s="132" t="s">
        <v>378</v>
      </c>
      <c r="G24" s="133" t="s">
        <v>369</v>
      </c>
      <c r="H24" s="117" t="s">
        <v>21</v>
      </c>
      <c r="I24" s="130"/>
      <c r="J24" s="84"/>
      <c r="K24" s="126"/>
      <c r="L24" s="126" t="s">
        <v>23</v>
      </c>
      <c r="M24" s="126"/>
      <c r="N24" s="127"/>
      <c r="O24" s="131"/>
    </row>
    <row r="25" spans="1:15" ht="196">
      <c r="A25" s="115" t="s">
        <v>394</v>
      </c>
      <c r="B25" s="127"/>
      <c r="C25" s="116" t="s">
        <v>16</v>
      </c>
      <c r="D25" s="132" t="s">
        <v>395</v>
      </c>
      <c r="E25" s="132" t="s">
        <v>396</v>
      </c>
      <c r="F25" s="132" t="s">
        <v>378</v>
      </c>
      <c r="G25" s="133" t="s">
        <v>369</v>
      </c>
      <c r="H25" s="117" t="s">
        <v>21</v>
      </c>
      <c r="I25" s="130"/>
      <c r="J25" s="84"/>
      <c r="K25" s="126"/>
      <c r="L25" s="126"/>
      <c r="M25" s="126" t="s">
        <v>23</v>
      </c>
      <c r="N25" s="127"/>
      <c r="O25" s="131"/>
    </row>
    <row r="26" spans="1:15" ht="196">
      <c r="A26" s="115" t="s">
        <v>397</v>
      </c>
      <c r="B26" s="127"/>
      <c r="C26" s="116" t="s">
        <v>16</v>
      </c>
      <c r="D26" s="134" t="s">
        <v>398</v>
      </c>
      <c r="E26" s="134" t="s">
        <v>399</v>
      </c>
      <c r="F26" s="134" t="s">
        <v>378</v>
      </c>
      <c r="G26" s="135" t="s">
        <v>369</v>
      </c>
      <c r="H26" s="117" t="s">
        <v>21</v>
      </c>
      <c r="I26" s="136"/>
      <c r="J26" s="84"/>
      <c r="K26" s="137"/>
      <c r="L26" s="137"/>
      <c r="M26" s="137" t="s">
        <v>23</v>
      </c>
      <c r="N26" s="138"/>
      <c r="O26" s="131"/>
    </row>
    <row r="27" spans="1:15" ht="196">
      <c r="A27" s="115" t="s">
        <v>400</v>
      </c>
      <c r="B27" s="127"/>
      <c r="C27" s="139" t="s">
        <v>16</v>
      </c>
      <c r="D27" s="59" t="s">
        <v>401</v>
      </c>
      <c r="E27" s="59" t="s">
        <v>402</v>
      </c>
      <c r="F27" s="59" t="s">
        <v>378</v>
      </c>
      <c r="G27" s="100" t="s">
        <v>369</v>
      </c>
      <c r="H27" s="117" t="s">
        <v>21</v>
      </c>
      <c r="I27" s="118"/>
      <c r="J27" s="84"/>
      <c r="K27" s="140"/>
      <c r="L27" s="140" t="s">
        <v>23</v>
      </c>
      <c r="M27" s="140"/>
      <c r="N27" s="141"/>
      <c r="O27" s="131"/>
    </row>
    <row r="28" spans="1:15" ht="140">
      <c r="A28" s="115" t="s">
        <v>403</v>
      </c>
      <c r="B28" s="120"/>
      <c r="C28" s="139" t="s">
        <v>16</v>
      </c>
      <c r="D28" s="59" t="s">
        <v>404</v>
      </c>
      <c r="E28" s="59" t="s">
        <v>405</v>
      </c>
      <c r="F28" s="59" t="s">
        <v>406</v>
      </c>
      <c r="G28" s="100" t="s">
        <v>407</v>
      </c>
      <c r="H28" s="117" t="s">
        <v>21</v>
      </c>
      <c r="I28" s="142"/>
      <c r="J28" s="76" t="s">
        <v>23</v>
      </c>
      <c r="K28" s="76"/>
      <c r="L28" s="76"/>
      <c r="M28" s="76"/>
      <c r="N28" s="59" t="s">
        <v>408</v>
      </c>
      <c r="O28" s="143"/>
    </row>
    <row r="29" spans="1:15" ht="140">
      <c r="A29" s="115" t="s">
        <v>409</v>
      </c>
      <c r="B29" s="120"/>
      <c r="C29" s="139" t="s">
        <v>16</v>
      </c>
      <c r="D29" s="59" t="s">
        <v>410</v>
      </c>
      <c r="E29" s="59" t="s">
        <v>411</v>
      </c>
      <c r="F29" s="59" t="s">
        <v>412</v>
      </c>
      <c r="G29" s="100" t="s">
        <v>407</v>
      </c>
      <c r="H29" s="117" t="s">
        <v>21</v>
      </c>
      <c r="I29" s="142"/>
      <c r="J29" s="76" t="s">
        <v>23</v>
      </c>
      <c r="K29" s="76"/>
      <c r="L29" s="76"/>
      <c r="M29" s="76"/>
      <c r="N29" s="59" t="s">
        <v>408</v>
      </c>
      <c r="O29" s="131"/>
    </row>
    <row r="30" spans="1:15" ht="42">
      <c r="A30" s="144" t="s">
        <v>413</v>
      </c>
      <c r="B30" s="145"/>
      <c r="C30" s="146" t="s">
        <v>16</v>
      </c>
      <c r="D30" s="147" t="s">
        <v>414</v>
      </c>
      <c r="E30" s="148"/>
      <c r="F30" s="148"/>
      <c r="G30" s="149"/>
      <c r="H30" s="150" t="s">
        <v>415</v>
      </c>
      <c r="I30" s="151"/>
      <c r="J30" s="152" t="s">
        <v>416</v>
      </c>
      <c r="K30" s="153"/>
      <c r="L30" s="153"/>
      <c r="M30" s="153" t="s">
        <v>184</v>
      </c>
      <c r="N30" s="154" t="s">
        <v>417</v>
      </c>
      <c r="O30" s="131"/>
    </row>
    <row r="31" spans="1:15" ht="42">
      <c r="A31" s="144" t="s">
        <v>418</v>
      </c>
      <c r="B31" s="145"/>
      <c r="C31" s="146" t="s">
        <v>16</v>
      </c>
      <c r="D31" s="147" t="s">
        <v>419</v>
      </c>
      <c r="E31" s="148"/>
      <c r="F31" s="148"/>
      <c r="G31" s="149"/>
      <c r="H31" s="150" t="s">
        <v>415</v>
      </c>
      <c r="I31" s="151"/>
      <c r="J31" s="155" t="s">
        <v>416</v>
      </c>
      <c r="K31" s="153"/>
      <c r="L31" s="153"/>
      <c r="M31" s="153" t="s">
        <v>184</v>
      </c>
      <c r="N31" s="154" t="s">
        <v>417</v>
      </c>
      <c r="O31" s="131"/>
    </row>
    <row r="32" spans="1:15" ht="154">
      <c r="A32" s="144" t="s">
        <v>420</v>
      </c>
      <c r="B32" s="156"/>
      <c r="C32" s="146" t="s">
        <v>16</v>
      </c>
      <c r="D32" s="147" t="s">
        <v>421</v>
      </c>
      <c r="E32" s="147" t="s">
        <v>422</v>
      </c>
      <c r="F32" s="147" t="s">
        <v>423</v>
      </c>
      <c r="G32" s="148" t="s">
        <v>424</v>
      </c>
      <c r="H32" s="150" t="s">
        <v>415</v>
      </c>
      <c r="I32" s="151"/>
      <c r="J32" s="157" t="s">
        <v>416</v>
      </c>
      <c r="K32" s="158"/>
      <c r="L32" s="158"/>
      <c r="M32" s="158" t="s">
        <v>184</v>
      </c>
      <c r="N32" s="59" t="s">
        <v>425</v>
      </c>
      <c r="O32" s="119"/>
    </row>
  </sheetData>
  <mergeCells count="11">
    <mergeCell ref="A1:A2"/>
    <mergeCell ref="B1:B2"/>
    <mergeCell ref="C1:C2"/>
    <mergeCell ref="D1:D2"/>
    <mergeCell ref="E1:E2"/>
    <mergeCell ref="F1:F2"/>
    <mergeCell ref="G1:G2"/>
    <mergeCell ref="H1:H2"/>
    <mergeCell ref="I1:I2"/>
    <mergeCell ref="N1:N2"/>
    <mergeCell ref="J1:M1"/>
  </mergeCells>
  <phoneticPr fontId="106" type="noConversion"/>
  <dataValidations count="5">
    <dataValidation type="list" allowBlank="1" showInputMessage="1" showErrorMessage="1" sqref="L3:M32 J1:K1048576" xr:uid="{00000000-0002-0000-0800-000000000000}">
      <formula1>"NT,PASS,FAIL,BLOCK,"</formula1>
    </dataValidation>
    <dataValidation type="list" allowBlank="1" showInputMessage="1" showErrorMessage="1" sqref="C3:C22 C30:C31" xr:uid="{00000000-0002-0000-0800-000002000000}">
      <formula1>"Basicfunction,Cross-module,Pressure,Performance"</formula1>
    </dataValidation>
    <dataValidation type="list" showInputMessage="1" showErrorMessage="1" sqref="C23:C29 C32" xr:uid="{00000000-0002-0000-0800-000003000000}">
      <formula1>"Basicfunction,Cross-module,Pressure,Performance"</formula1>
    </dataValidation>
    <dataValidation type="list" allowBlank="1" showInputMessage="1" showErrorMessage="1" sqref="H3:H32" xr:uid="{00000000-0002-0000-0800-000006000000}">
      <formula1>"P0,P1,P2"</formula1>
    </dataValidation>
    <dataValidation type="list" allowBlank="1" showInputMessage="1" showErrorMessage="1" sqref="I3:I32" xr:uid="{00000000-0002-0000-0800-000007000000}">
      <formula1>"Yes,No"</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20</vt:i4>
      </vt:variant>
    </vt:vector>
  </HeadingPairs>
  <TitlesOfParts>
    <vt:vector size="20" baseType="lpstr">
      <vt:lpstr>Rev Control</vt:lpstr>
      <vt:lpstr>用例执行情况说明</vt:lpstr>
      <vt:lpstr>每日进展</vt:lpstr>
      <vt:lpstr>Summary</vt:lpstr>
      <vt:lpstr>ASIC端口形态</vt:lpstr>
      <vt:lpstr>FPGA固定支持端口形态</vt:lpstr>
      <vt:lpstr>fanout</vt:lpstr>
      <vt:lpstr>AI场景</vt:lpstr>
      <vt:lpstr>存储场景</vt:lpstr>
      <vt:lpstr>网络场景</vt:lpstr>
      <vt:lpstr>协议类测试</vt:lpstr>
      <vt:lpstr>PCISIG</vt:lpstr>
      <vt:lpstr>PCIECV_USP</vt:lpstr>
      <vt:lpstr>PCIECV_DSP</vt:lpstr>
      <vt:lpstr>PBL</vt:lpstr>
      <vt:lpstr>DMA</vt:lpstr>
      <vt:lpstr>管理工具</vt:lpstr>
      <vt:lpstr>兼容性</vt:lpstr>
      <vt:lpstr>压力测试</vt:lpstr>
      <vt:lpstr>自动Summary(副本)</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Sun</dc:creator>
  <cp:lastModifiedBy>lenovo</cp:lastModifiedBy>
  <dcterms:created xsi:type="dcterms:W3CDTF">2025-03-14T10:49:12Z</dcterms:created>
  <dcterms:modified xsi:type="dcterms:W3CDTF">2025-03-14T07:49:45Z</dcterms:modified>
</cp:coreProperties>
</file>